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340" windowHeight="14040" tabRatio="500" activeTab="1"/>
  </bookViews>
  <sheets>
    <sheet name="Chp5Q1" sheetId="1" r:id="rId1"/>
    <sheet name="Chp6Hubbard" sheetId="6" r:id="rId2"/>
    <sheet name="Chp8Q2" sheetId="2" r:id="rId3"/>
    <sheet name="Chp9Q1" sheetId="3" r:id="rId4"/>
    <sheet name="Chp11Q1" sheetId="4" r:id="rId5"/>
    <sheet name="Chp14Q2" sheetId="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6" l="1"/>
  <c r="D10" i="6"/>
  <c r="D11" i="6"/>
  <c r="D15" i="6"/>
  <c r="D24" i="6"/>
  <c r="D26" i="6"/>
  <c r="D29" i="6"/>
  <c r="D31" i="6"/>
  <c r="D33" i="6"/>
  <c r="D34" i="6"/>
  <c r="C18" i="5"/>
  <c r="C19" i="5"/>
  <c r="C20" i="5"/>
  <c r="C21" i="5"/>
  <c r="C22" i="5"/>
  <c r="C23" i="5"/>
  <c r="C24" i="5"/>
  <c r="C25" i="5"/>
  <c r="C26" i="5"/>
  <c r="E4" i="5"/>
  <c r="E5" i="5"/>
  <c r="E6" i="5"/>
  <c r="E7" i="5"/>
  <c r="E8" i="5"/>
  <c r="E9" i="5"/>
  <c r="E10" i="5"/>
  <c r="E11" i="5"/>
  <c r="E12" i="5"/>
  <c r="E13" i="5"/>
  <c r="F4" i="5"/>
  <c r="F5" i="5"/>
  <c r="F6" i="5"/>
  <c r="F7" i="5"/>
  <c r="F8" i="5"/>
  <c r="F9" i="5"/>
  <c r="F10" i="5"/>
  <c r="F11" i="5"/>
  <c r="F12" i="5"/>
  <c r="F13" i="5"/>
  <c r="D14" i="5"/>
  <c r="C14" i="4"/>
  <c r="C15" i="4"/>
  <c r="C16" i="4"/>
  <c r="C18" i="4"/>
  <c r="C19" i="4"/>
  <c r="C20" i="4"/>
  <c r="C22" i="4"/>
  <c r="C23" i="4"/>
  <c r="C24" i="4"/>
  <c r="C27" i="4"/>
  <c r="B14" i="4"/>
  <c r="B15" i="4"/>
  <c r="B16" i="4"/>
  <c r="B23" i="4"/>
  <c r="B22" i="4"/>
  <c r="B24" i="4"/>
  <c r="B18" i="4"/>
  <c r="B19" i="4"/>
  <c r="B20" i="4"/>
  <c r="B27" i="4"/>
  <c r="E8" i="3"/>
  <c r="B39" i="3"/>
  <c r="H39" i="3"/>
  <c r="B60" i="3"/>
  <c r="E6" i="3"/>
  <c r="D4" i="3"/>
  <c r="E4" i="3"/>
  <c r="C84" i="3"/>
  <c r="B44" i="3"/>
  <c r="H44" i="3"/>
  <c r="B43" i="3"/>
  <c r="C32" i="3"/>
  <c r="D32" i="3"/>
  <c r="E32" i="3"/>
  <c r="F32" i="3"/>
  <c r="G32" i="3"/>
  <c r="B32" i="3"/>
  <c r="B33" i="3"/>
  <c r="B35" i="3"/>
  <c r="B40" i="3"/>
  <c r="B41" i="3"/>
  <c r="B42" i="3"/>
  <c r="B45" i="3"/>
  <c r="B47" i="3"/>
  <c r="B49" i="3"/>
  <c r="C30" i="3"/>
  <c r="C35" i="3"/>
  <c r="B12" i="3"/>
  <c r="C38" i="3"/>
  <c r="C41" i="3"/>
  <c r="C42" i="3"/>
  <c r="C47" i="3"/>
  <c r="C49" i="3"/>
  <c r="D30" i="3"/>
  <c r="D35" i="3"/>
  <c r="D38" i="3"/>
  <c r="D41" i="3"/>
  <c r="D42" i="3"/>
  <c r="D47" i="3"/>
  <c r="D49" i="3"/>
  <c r="E30" i="3"/>
  <c r="E35" i="3"/>
  <c r="E38" i="3"/>
  <c r="E41" i="3"/>
  <c r="E42" i="3"/>
  <c r="E47" i="3"/>
  <c r="E49" i="3"/>
  <c r="F30" i="3"/>
  <c r="F35" i="3"/>
  <c r="F38" i="3"/>
  <c r="F41" i="3"/>
  <c r="F42" i="3"/>
  <c r="F47" i="3"/>
  <c r="F49" i="3"/>
  <c r="G30" i="3"/>
  <c r="G35" i="3"/>
  <c r="G38" i="3"/>
  <c r="G41" i="3"/>
  <c r="G42" i="3"/>
  <c r="G47" i="3"/>
  <c r="G49" i="3"/>
  <c r="C85" i="3"/>
  <c r="C83" i="3"/>
  <c r="D86" i="3"/>
  <c r="B79" i="3"/>
  <c r="D5" i="3"/>
  <c r="E5" i="3"/>
  <c r="B64" i="3"/>
  <c r="C79" i="3"/>
  <c r="D79" i="3"/>
  <c r="B80" i="3"/>
  <c r="B65" i="3"/>
  <c r="C80" i="3"/>
  <c r="D80" i="3"/>
  <c r="D81" i="3"/>
  <c r="D87" i="3"/>
  <c r="H32" i="3"/>
  <c r="B55" i="3"/>
  <c r="H38" i="3"/>
  <c r="I38" i="3"/>
  <c r="B56" i="3"/>
  <c r="B57" i="3"/>
  <c r="H40" i="3"/>
  <c r="B61" i="3"/>
  <c r="H41" i="3"/>
  <c r="B62" i="3"/>
  <c r="H42" i="3"/>
  <c r="B63" i="3"/>
  <c r="B66" i="3"/>
  <c r="B68" i="3"/>
  <c r="C91" i="3"/>
  <c r="C90" i="3"/>
  <c r="D91" i="3"/>
  <c r="C94" i="3"/>
  <c r="D96" i="3"/>
  <c r="D97" i="3"/>
  <c r="F97" i="3"/>
  <c r="C81" i="3"/>
  <c r="B81" i="3"/>
  <c r="C66" i="3"/>
  <c r="C57" i="3"/>
  <c r="E7" i="3"/>
  <c r="E9" i="3"/>
  <c r="E10" i="3"/>
  <c r="E11" i="3"/>
  <c r="H43" i="3"/>
  <c r="H46" i="3"/>
  <c r="H45" i="3"/>
  <c r="G27" i="2"/>
  <c r="G28" i="2"/>
  <c r="E24" i="2"/>
  <c r="E29" i="2"/>
  <c r="G5" i="2"/>
  <c r="G6" i="2"/>
  <c r="G7" i="2"/>
  <c r="G8" i="2"/>
  <c r="G9" i="2"/>
  <c r="G10" i="2"/>
  <c r="G12" i="2"/>
  <c r="G14" i="2"/>
  <c r="G16" i="2"/>
  <c r="G17" i="2"/>
  <c r="E5" i="2"/>
  <c r="E6" i="2"/>
  <c r="E7" i="2"/>
  <c r="E8" i="2"/>
  <c r="E9" i="2"/>
  <c r="E10" i="2"/>
  <c r="E12" i="2"/>
  <c r="E14" i="2"/>
  <c r="E16" i="2"/>
  <c r="E17" i="2"/>
  <c r="C6" i="1"/>
  <c r="D6" i="1"/>
  <c r="E6" i="1"/>
  <c r="B6" i="1"/>
  <c r="B8" i="1"/>
  <c r="D13" i="1"/>
  <c r="D14" i="1"/>
  <c r="E13" i="1"/>
  <c r="E14" i="1"/>
  <c r="C13" i="1"/>
  <c r="C14" i="1"/>
  <c r="D15" i="1"/>
  <c r="E15" i="1"/>
  <c r="C15" i="1"/>
  <c r="B13" i="1"/>
  <c r="C11" i="1"/>
  <c r="D11" i="1"/>
  <c r="E11" i="1"/>
  <c r="B11" i="1"/>
  <c r="C68" i="3"/>
</calcChain>
</file>

<file path=xl/sharedStrings.xml><?xml version="1.0" encoding="utf-8"?>
<sst xmlns="http://schemas.openxmlformats.org/spreadsheetml/2006/main" count="228" uniqueCount="174">
  <si>
    <t>Total</t>
  </si>
  <si>
    <t>Trip A</t>
  </si>
  <si>
    <t>Trip B</t>
  </si>
  <si>
    <t>Trip C</t>
  </si>
  <si>
    <t>€</t>
  </si>
  <si>
    <t>Actual Sales</t>
  </si>
  <si>
    <t xml:space="preserve">Variable Costs </t>
  </si>
  <si>
    <t>Overheads</t>
  </si>
  <si>
    <t>Profit</t>
  </si>
  <si>
    <t>Maximum Passengers per Trip</t>
  </si>
  <si>
    <t>Contr</t>
  </si>
  <si>
    <t>OHDS allocation</t>
  </si>
  <si>
    <t>Sales mix</t>
  </si>
  <si>
    <t>CORPORATE</t>
  </si>
  <si>
    <t>Activities</t>
  </si>
  <si>
    <t>Check in/out</t>
  </si>
  <si>
    <t>Room cleaning</t>
  </si>
  <si>
    <t>Room service</t>
  </si>
  <si>
    <t>Activity drivers</t>
  </si>
  <si>
    <t>No. of rooms/customers</t>
  </si>
  <si>
    <t>No. of days/time per day</t>
  </si>
  <si>
    <t>No. of calls</t>
  </si>
  <si>
    <t>ABC rate</t>
  </si>
  <si>
    <t>Cost</t>
  </si>
  <si>
    <t>LEISURE</t>
  </si>
  <si>
    <t>Breakfast Service</t>
  </si>
  <si>
    <t>Meal Service</t>
  </si>
  <si>
    <t>Bar Service</t>
  </si>
  <si>
    <t>No. of Breakfasts</t>
  </si>
  <si>
    <t>No. of Meals</t>
  </si>
  <si>
    <t>No of items sold</t>
  </si>
  <si>
    <t>Total Customer activity costs</t>
  </si>
  <si>
    <t>Direct costs</t>
  </si>
  <si>
    <t>Total Costs (direct and Indirect)</t>
  </si>
  <si>
    <t>Total Revenues</t>
  </si>
  <si>
    <t>Profit Margin</t>
  </si>
  <si>
    <t>Relative Profitability</t>
  </si>
  <si>
    <t>CPA Example</t>
  </si>
  <si>
    <t>Frequency of activity</t>
  </si>
  <si>
    <t>Complete the table</t>
  </si>
  <si>
    <t>%</t>
  </si>
  <si>
    <t>Pop-up Sushi Bar</t>
  </si>
  <si>
    <t>Mobile Kitchen with Counter</t>
  </si>
  <si>
    <t>Chairs and Tables</t>
  </si>
  <si>
    <t>Van</t>
  </si>
  <si>
    <t>Pitch Fees</t>
  </si>
  <si>
    <t>Insurance</t>
  </si>
  <si>
    <t>Marketing</t>
  </si>
  <si>
    <t>Food</t>
  </si>
  <si>
    <t>Packaging and disposable items</t>
  </si>
  <si>
    <t>Details</t>
  </si>
  <si>
    <t>The mobile kitchen was rented at € with an initial depotsit of €</t>
  </si>
  <si>
    <t>The van (second hand) was purchased up front for €</t>
  </si>
  <si>
    <t>Both Koji and Jaki brough an equal sum of cash into the business amounting to €</t>
  </si>
  <si>
    <t>Insurance was paid 6  month in advance on the first day of the period</t>
  </si>
  <si>
    <t>Pitch fees were paid one month in advance on the first day of the monthbefore commencement</t>
  </si>
  <si>
    <t>They have decided to make an allowance for wastage of € per month.</t>
  </si>
  <si>
    <t xml:space="preserve">Cash Budget for Robinson's up to end July </t>
    <phoneticPr fontId="1" type="noConversion"/>
  </si>
  <si>
    <t>Total</t>
    <phoneticPr fontId="1" type="noConversion"/>
  </si>
  <si>
    <t>Cash brought Forward</t>
    <phoneticPr fontId="1" type="noConversion"/>
  </si>
  <si>
    <t>Cash In</t>
    <phoneticPr fontId="1" type="noConversion"/>
  </si>
  <si>
    <t>Sale Cash</t>
    <phoneticPr fontId="1" type="noConversion"/>
  </si>
  <si>
    <t>Total Cash Received</t>
    <phoneticPr fontId="1" type="noConversion"/>
  </si>
  <si>
    <t>Cash Payments</t>
    <phoneticPr fontId="1" type="noConversion"/>
  </si>
  <si>
    <t>Purchases</t>
    <phoneticPr fontId="1" type="noConversion"/>
  </si>
  <si>
    <t>Total Cash Payments</t>
    <phoneticPr fontId="1" type="noConversion"/>
  </si>
  <si>
    <t>Balance Carried Forward</t>
    <phoneticPr fontId="1" type="noConversion"/>
  </si>
  <si>
    <t>Sales</t>
    <phoneticPr fontId="1" type="noConversion"/>
  </si>
  <si>
    <t>Cost of Sales</t>
    <phoneticPr fontId="1" type="noConversion"/>
  </si>
  <si>
    <t>Gross Profit</t>
    <phoneticPr fontId="1" type="noConversion"/>
  </si>
  <si>
    <t>Less expenses</t>
    <phoneticPr fontId="1" type="noConversion"/>
  </si>
  <si>
    <t>Total expenses</t>
    <phoneticPr fontId="1" type="noConversion"/>
  </si>
  <si>
    <t>Fixed Assets</t>
    <phoneticPr fontId="1" type="noConversion"/>
  </si>
  <si>
    <t>Cost</t>
    <phoneticPr fontId="1" type="noConversion"/>
  </si>
  <si>
    <t>Dep</t>
    <phoneticPr fontId="1" type="noConversion"/>
  </si>
  <si>
    <t>Net</t>
    <phoneticPr fontId="1" type="noConversion"/>
  </si>
  <si>
    <t>Current Assets</t>
    <phoneticPr fontId="1" type="noConversion"/>
  </si>
  <si>
    <t>Stock</t>
    <phoneticPr fontId="1" type="noConversion"/>
  </si>
  <si>
    <t>Current Liabilities</t>
    <phoneticPr fontId="1" type="noConversion"/>
  </si>
  <si>
    <t>Food Creditors</t>
    <phoneticPr fontId="1" type="noConversion"/>
  </si>
  <si>
    <t>Profit/Loss</t>
    <phoneticPr fontId="1" type="noConversion"/>
  </si>
  <si>
    <t>Month 1</t>
  </si>
  <si>
    <t>Month 2</t>
  </si>
  <si>
    <t>Month3</t>
  </si>
  <si>
    <t>Month4</t>
  </si>
  <si>
    <t>Month 5</t>
  </si>
  <si>
    <t>Month 6</t>
  </si>
  <si>
    <t>Rental of Mobile Kitchen</t>
  </si>
  <si>
    <t>Initial Investment</t>
  </si>
  <si>
    <t>Tables and Chairs</t>
  </si>
  <si>
    <t>They will both be working in te business so will not need to hire any staff</t>
  </si>
  <si>
    <t>per annum</t>
  </si>
  <si>
    <t>Initial outlay</t>
  </si>
  <si>
    <t>last 10 years</t>
  </si>
  <si>
    <t>last 4 years</t>
  </si>
  <si>
    <t>per month</t>
  </si>
  <si>
    <t>PA</t>
  </si>
  <si>
    <t>6months</t>
  </si>
  <si>
    <t>write of 1st year</t>
  </si>
  <si>
    <t>FC</t>
  </si>
  <si>
    <t>B/E</t>
  </si>
  <si>
    <t>Price</t>
  </si>
  <si>
    <t>Average spend</t>
  </si>
  <si>
    <t>Initial investment</t>
  </si>
  <si>
    <t>Initial Stock</t>
  </si>
  <si>
    <t>Depreciation Van</t>
  </si>
  <si>
    <t>Depreciation Table/Chairs</t>
  </si>
  <si>
    <t>Net profit</t>
  </si>
  <si>
    <t>Food and Packaging are variable costs, they plan to hold a small amount of stock ( € 500, of mainly non perishable items, but all food will be purchased and delivered fresh every day. Supplier allow 30 days credit.</t>
  </si>
  <si>
    <t>Budgeted Statement of Financial Position As At the end of July</t>
  </si>
  <si>
    <t>Cash in bank</t>
  </si>
  <si>
    <t>Total Assets</t>
  </si>
  <si>
    <t>Equity and Liabilities</t>
  </si>
  <si>
    <t>Investments from Owners</t>
  </si>
  <si>
    <t>Other Liabilities</t>
  </si>
  <si>
    <t>Total Equity and Liabilities</t>
  </si>
  <si>
    <t>No of Sales/Customers  per month</t>
  </si>
  <si>
    <t>Budgeted Income Statement for the six months</t>
  </si>
  <si>
    <t>Deposit for Mobile Kitchen</t>
  </si>
  <si>
    <r>
      <t xml:space="preserve">Insurance </t>
    </r>
    <r>
      <rPr>
        <sz val="12"/>
        <color rgb="FFFF0000"/>
        <rFont val="Calibri"/>
        <family val="2"/>
        <scheme val="minor"/>
      </rPr>
      <t>and Labour</t>
    </r>
  </si>
  <si>
    <t xml:space="preserve">Sales </t>
  </si>
  <si>
    <t>% Sales on Credit</t>
  </si>
  <si>
    <t>Cost of sales %</t>
  </si>
  <si>
    <t>Closing stock figure</t>
  </si>
  <si>
    <t xml:space="preserve">Debtors </t>
  </si>
  <si>
    <t>Creditors</t>
  </si>
  <si>
    <t>Cash Operating Cycle</t>
  </si>
  <si>
    <t>ARCP</t>
  </si>
  <si>
    <t>APPP</t>
  </si>
  <si>
    <t>Inventory Turnover</t>
  </si>
  <si>
    <t>Average Inventory</t>
  </si>
  <si>
    <t>Cost of Sales</t>
  </si>
  <si>
    <t>Closing Stock 2010</t>
  </si>
  <si>
    <t>Days</t>
  </si>
  <si>
    <t>Accounts Receivavle</t>
  </si>
  <si>
    <t>Credit Sales</t>
  </si>
  <si>
    <t>Accounts Payable</t>
  </si>
  <si>
    <t>Credit Purchases</t>
  </si>
  <si>
    <t>Cash Operating Cycle Calculation</t>
  </si>
  <si>
    <t>Jacques Villas</t>
  </si>
  <si>
    <t>Years</t>
  </si>
  <si>
    <t>Invest</t>
  </si>
  <si>
    <t>Discount Rate</t>
  </si>
  <si>
    <t>Discounted Cash Flows</t>
  </si>
  <si>
    <t>IRR =</t>
  </si>
  <si>
    <t>Payback</t>
  </si>
  <si>
    <t>Cumulative Cash flows</t>
  </si>
  <si>
    <t>Payback after 4 yrs</t>
  </si>
  <si>
    <t>Rooms Dept. operating expenses</t>
  </si>
  <si>
    <t>Payroll</t>
  </si>
  <si>
    <t>Other departmental exp.</t>
  </si>
  <si>
    <t>Unallocated costs</t>
  </si>
  <si>
    <t>Utilities</t>
  </si>
  <si>
    <t>Administration and Marketing</t>
  </si>
  <si>
    <t>Repairs &amp; maintenance</t>
  </si>
  <si>
    <t>Operating expenses sub total</t>
  </si>
  <si>
    <t>Return on capital employed</t>
  </si>
  <si>
    <t>Capital employed</t>
  </si>
  <si>
    <t>10% return required after tax</t>
  </si>
  <si>
    <t>Interest and Depreciation</t>
  </si>
  <si>
    <t>Deduct any profits from other department</t>
  </si>
  <si>
    <t>Food &amp; Beverage</t>
  </si>
  <si>
    <t>Spa and Health Club</t>
  </si>
  <si>
    <t>Shop Franchises</t>
  </si>
  <si>
    <t xml:space="preserve">Total amount to be realized from room sales to cover costs and the required return on capital </t>
  </si>
  <si>
    <t xml:space="preserve">               </t>
  </si>
  <si>
    <t>Calculation to establish average daily room rate</t>
  </si>
  <si>
    <t>Amount realised from room sales</t>
  </si>
  <si>
    <t>A</t>
  </si>
  <si>
    <t>Rooms available for sales</t>
  </si>
  <si>
    <t>No. available annually  (x 365)</t>
  </si>
  <si>
    <t>reduce to reflect average occupancy (65%)</t>
  </si>
  <si>
    <t>No. of rooms nights to be occupied         B</t>
  </si>
  <si>
    <t>Average room rate                'A divided by 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</si>
</sst>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£&quot;#,##0.00;[Red]\-&quot;£&quot;#,##0.00"/>
    <numFmt numFmtId="164" formatCode="0.0%"/>
    <numFmt numFmtId="165" formatCode="&quot;£&quot;#,##0"/>
    <numFmt numFmtId="166" formatCode="&quot;£&quot;#,##0.00"/>
    <numFmt numFmtId="167" formatCode="[$€-2]\ #,##0;[Red]\-[$€-2]\ #,##0"/>
    <numFmt numFmtId="168" formatCode="#,##0.00_ ;[Red]\-#,##0.00\ "/>
    <numFmt numFmtId="169" formatCode="[$£-809]#,##0"/>
    <numFmt numFmtId="170" formatCode="[$£-809]#,##0.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sz val="10"/>
      <color theme="1"/>
      <name val="Verdana"/>
    </font>
    <font>
      <sz val="10"/>
      <color theme="1"/>
      <name val="Verdana"/>
    </font>
    <font>
      <u/>
      <sz val="10"/>
      <color theme="1"/>
      <name val="Verdana"/>
    </font>
    <font>
      <b/>
      <sz val="9"/>
      <color theme="1"/>
      <name val="Verdana"/>
    </font>
    <font>
      <sz val="9"/>
      <color theme="1"/>
      <name val="Verdana"/>
    </font>
    <font>
      <u/>
      <sz val="9"/>
      <color theme="1"/>
      <name val="Verdana"/>
    </font>
    <font>
      <b/>
      <sz val="10"/>
      <name val="Verdana"/>
    </font>
    <font>
      <u/>
      <sz val="10"/>
      <name val="Verdana"/>
    </font>
    <font>
      <i/>
      <sz val="10"/>
      <name val="Verdana"/>
    </font>
    <font>
      <sz val="10"/>
      <name val="Verdana"/>
    </font>
    <font>
      <u val="doubleAccounting"/>
      <sz val="12"/>
      <color theme="1"/>
      <name val="Calibri"/>
      <scheme val="minor"/>
    </font>
    <font>
      <u/>
      <sz val="9"/>
      <name val="Verdana"/>
    </font>
    <font>
      <b/>
      <sz val="9"/>
      <name val="Verdana"/>
    </font>
    <font>
      <b/>
      <u/>
      <sz val="9"/>
      <name val="Verdana"/>
    </font>
    <font>
      <i/>
      <sz val="9"/>
      <name val="Verdana"/>
    </font>
    <font>
      <sz val="9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3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5" xfId="0" applyFont="1" applyBorder="1"/>
    <xf numFmtId="0" fontId="11" fillId="0" borderId="5" xfId="0" applyFont="1" applyBorder="1"/>
    <xf numFmtId="0" fontId="10" fillId="0" borderId="5" xfId="0" applyFont="1" applyBorder="1" applyAlignment="1">
      <alignment horizontal="centerContinuous"/>
    </xf>
    <xf numFmtId="0" fontId="11" fillId="2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8" fontId="11" fillId="0" borderId="5" xfId="0" applyNumberFormat="1" applyFont="1" applyBorder="1"/>
    <xf numFmtId="0" fontId="11" fillId="0" borderId="5" xfId="0" applyFont="1" applyBorder="1" applyAlignment="1">
      <alignment horizontal="center"/>
    </xf>
    <xf numFmtId="8" fontId="12" fillId="0" borderId="5" xfId="0" applyNumberFormat="1" applyFont="1" applyBorder="1"/>
    <xf numFmtId="0" fontId="12" fillId="0" borderId="5" xfId="0" applyFont="1" applyBorder="1"/>
    <xf numFmtId="9" fontId="11" fillId="0" borderId="5" xfId="0" applyNumberFormat="1" applyFont="1" applyBorder="1" applyAlignment="1">
      <alignment horizontal="right"/>
    </xf>
    <xf numFmtId="9" fontId="11" fillId="0" borderId="5" xfId="0" applyNumberFormat="1" applyFont="1" applyBorder="1"/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3" fontId="14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wrapText="1"/>
    </xf>
    <xf numFmtId="165" fontId="14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3" fontId="6" fillId="0" borderId="0" xfId="0" applyNumberFormat="1" applyFont="1"/>
    <xf numFmtId="3" fontId="17" fillId="0" borderId="0" xfId="0" applyNumberFormat="1" applyFont="1"/>
    <xf numFmtId="166" fontId="0" fillId="0" borderId="0" xfId="0" applyNumberFormat="1"/>
    <xf numFmtId="0" fontId="0" fillId="0" borderId="0" xfId="0" applyFont="1"/>
    <xf numFmtId="0" fontId="11" fillId="0" borderId="0" xfId="0" applyFont="1"/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wrapText="1"/>
    </xf>
    <xf numFmtId="3" fontId="11" fillId="0" borderId="0" xfId="0" applyNumberFormat="1" applyFont="1"/>
    <xf numFmtId="3" fontId="19" fillId="0" borderId="0" xfId="0" applyNumberFormat="1" applyFont="1" applyAlignment="1"/>
    <xf numFmtId="3" fontId="11" fillId="0" borderId="5" xfId="0" applyNumberFormat="1" applyFont="1" applyBorder="1" applyAlignment="1">
      <alignment wrapText="1"/>
    </xf>
    <xf numFmtId="0" fontId="20" fillId="0" borderId="5" xfId="0" applyFont="1" applyBorder="1" applyAlignment="1">
      <alignment horizontal="center"/>
    </xf>
    <xf numFmtId="3" fontId="11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wrapText="1"/>
    </xf>
    <xf numFmtId="3" fontId="11" fillId="0" borderId="5" xfId="0" applyNumberFormat="1" applyFont="1" applyBorder="1"/>
    <xf numFmtId="3" fontId="18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5" xfId="0" applyFont="1" applyBorder="1" applyAlignment="1">
      <alignment wrapText="1"/>
    </xf>
    <xf numFmtId="165" fontId="11" fillId="0" borderId="5" xfId="0" applyNumberFormat="1" applyFont="1" applyBorder="1"/>
    <xf numFmtId="0" fontId="11" fillId="0" borderId="5" xfId="0" applyFont="1" applyBorder="1" applyAlignment="1">
      <alignment horizontal="left" wrapText="1"/>
    </xf>
    <xf numFmtId="0" fontId="19" fillId="0" borderId="5" xfId="0" applyFont="1" applyBorder="1" applyAlignment="1">
      <alignment wrapText="1"/>
    </xf>
    <xf numFmtId="0" fontId="22" fillId="0" borderId="5" xfId="0" applyFont="1" applyBorder="1"/>
    <xf numFmtId="0" fontId="8" fillId="0" borderId="0" xfId="0" applyFont="1" applyBorder="1"/>
    <xf numFmtId="0" fontId="8" fillId="0" borderId="5" xfId="0" applyFont="1" applyBorder="1" applyAlignment="1">
      <alignment vertical="center" wrapText="1"/>
    </xf>
    <xf numFmtId="167" fontId="8" fillId="0" borderId="5" xfId="0" applyNumberFormat="1" applyFont="1" applyBorder="1" applyAlignment="1">
      <alignment vertical="center" wrapText="1"/>
    </xf>
    <xf numFmtId="9" fontId="8" fillId="0" borderId="5" xfId="0" applyNumberFormat="1" applyFont="1" applyBorder="1" applyAlignment="1">
      <alignment vertical="center" wrapText="1"/>
    </xf>
    <xf numFmtId="0" fontId="8" fillId="0" borderId="5" xfId="0" applyFont="1" applyBorder="1"/>
    <xf numFmtId="0" fontId="8" fillId="0" borderId="5" xfId="0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168" fontId="8" fillId="0" borderId="5" xfId="0" applyNumberFormat="1" applyFont="1" applyBorder="1"/>
    <xf numFmtId="0" fontId="8" fillId="0" borderId="5" xfId="0" applyFont="1" applyFill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indent="1"/>
    </xf>
    <xf numFmtId="167" fontId="8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Continuous"/>
    </xf>
    <xf numFmtId="9" fontId="8" fillId="0" borderId="5" xfId="0" applyNumberFormat="1" applyFont="1" applyBorder="1"/>
    <xf numFmtId="9" fontId="7" fillId="0" borderId="5" xfId="0" applyNumberFormat="1" applyFont="1" applyBorder="1"/>
    <xf numFmtId="3" fontId="8" fillId="0" borderId="5" xfId="0" applyNumberFormat="1" applyFont="1" applyBorder="1"/>
    <xf numFmtId="10" fontId="8" fillId="0" borderId="5" xfId="0" applyNumberFormat="1" applyFont="1" applyBorder="1"/>
    <xf numFmtId="0" fontId="7" fillId="0" borderId="5" xfId="0" applyFont="1" applyBorder="1" applyAlignment="1">
      <alignment horizontal="centerContinuous"/>
    </xf>
    <xf numFmtId="0" fontId="8" fillId="2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8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8" fontId="9" fillId="0" borderId="5" xfId="0" applyNumberFormat="1" applyFont="1" applyBorder="1"/>
    <xf numFmtId="0" fontId="9" fillId="0" borderId="5" xfId="0" applyFont="1" applyBorder="1"/>
    <xf numFmtId="0" fontId="16" fillId="0" borderId="0" xfId="0" applyFont="1"/>
    <xf numFmtId="9" fontId="1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4" sqref="D24"/>
    </sheetView>
  </sheetViews>
  <sheetFormatPr baseColWidth="10" defaultRowHeight="15" x14ac:dyDescent="0"/>
  <sheetData>
    <row r="1" spans="1:5" ht="17" thickBot="1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ht="17" thickBot="1">
      <c r="A2" s="3"/>
      <c r="B2" s="4" t="s">
        <v>4</v>
      </c>
      <c r="C2" s="4" t="s">
        <v>4</v>
      </c>
      <c r="D2" s="4" t="s">
        <v>4</v>
      </c>
      <c r="E2" s="4" t="s">
        <v>4</v>
      </c>
    </row>
    <row r="3" spans="1:5" ht="33" thickBot="1">
      <c r="A3" s="3" t="s">
        <v>5</v>
      </c>
      <c r="B3" s="6">
        <v>323140</v>
      </c>
      <c r="C3" s="6">
        <v>75500</v>
      </c>
      <c r="D3" s="6">
        <v>120800</v>
      </c>
      <c r="E3" s="6">
        <v>126840</v>
      </c>
    </row>
    <row r="4" spans="1:5" ht="33" thickBot="1">
      <c r="A4" s="3" t="s">
        <v>6</v>
      </c>
      <c r="B4" s="6">
        <v>219978</v>
      </c>
      <c r="C4" s="6">
        <v>52850</v>
      </c>
      <c r="D4" s="6">
        <v>82144</v>
      </c>
      <c r="E4" s="6">
        <v>84984</v>
      </c>
    </row>
    <row r="5" spans="1:5" ht="33" thickBot="1">
      <c r="A5" s="3" t="s">
        <v>7</v>
      </c>
      <c r="B5" s="6">
        <v>85560</v>
      </c>
      <c r="C5" s="6">
        <v>13800</v>
      </c>
      <c r="D5" s="6">
        <v>27600</v>
      </c>
      <c r="E5" s="6">
        <v>44160</v>
      </c>
    </row>
    <row r="6" spans="1:5" ht="17" thickBot="1">
      <c r="A6" s="3" t="s">
        <v>8</v>
      </c>
      <c r="B6" s="6">
        <f>B3-B4-B5</f>
        <v>17602</v>
      </c>
      <c r="C6" s="6">
        <f t="shared" ref="C6:E6" si="0">C3-C4-C5</f>
        <v>8850</v>
      </c>
      <c r="D6" s="6">
        <f t="shared" si="0"/>
        <v>11056</v>
      </c>
      <c r="E6" s="6">
        <f t="shared" si="0"/>
        <v>-2304</v>
      </c>
    </row>
    <row r="7" spans="1:5" ht="17" thickBot="1">
      <c r="A7" s="3"/>
      <c r="B7" s="7"/>
      <c r="C7" s="7"/>
      <c r="D7" s="7"/>
      <c r="E7" s="7"/>
    </row>
    <row r="8" spans="1:5" ht="81" thickBot="1">
      <c r="A8" s="3" t="s">
        <v>9</v>
      </c>
      <c r="B8" s="7">
        <f>C8+D8+E8</f>
        <v>310</v>
      </c>
      <c r="C8" s="7">
        <v>50</v>
      </c>
      <c r="D8" s="7">
        <v>100</v>
      </c>
      <c r="E8" s="7">
        <v>160</v>
      </c>
    </row>
    <row r="11" spans="1:5">
      <c r="A11" t="s">
        <v>10</v>
      </c>
      <c r="B11" s="5">
        <f>B3-B4</f>
        <v>103162</v>
      </c>
      <c r="C11" s="5">
        <f t="shared" ref="C11:E11" si="1">C3-C4</f>
        <v>22650</v>
      </c>
      <c r="D11" s="5">
        <f t="shared" si="1"/>
        <v>38656</v>
      </c>
      <c r="E11" s="5">
        <f t="shared" si="1"/>
        <v>41856</v>
      </c>
    </row>
    <row r="13" spans="1:5">
      <c r="A13" t="s">
        <v>11</v>
      </c>
      <c r="B13">
        <f>B5/B8</f>
        <v>276</v>
      </c>
      <c r="C13" s="8">
        <f>C8/$B8</f>
        <v>0.16129032258064516</v>
      </c>
      <c r="D13" s="8">
        <f t="shared" ref="D13:E13" si="2">D8/$B8</f>
        <v>0.32258064516129031</v>
      </c>
      <c r="E13" s="8">
        <f t="shared" si="2"/>
        <v>0.5161290322580645</v>
      </c>
    </row>
    <row r="14" spans="1:5">
      <c r="C14" s="9">
        <f>$B5*C13</f>
        <v>13800</v>
      </c>
      <c r="D14" s="9">
        <f t="shared" ref="D14:E14" si="3">$B5*D13</f>
        <v>27600</v>
      </c>
      <c r="E14" s="9">
        <f t="shared" si="3"/>
        <v>44160</v>
      </c>
    </row>
    <row r="15" spans="1:5">
      <c r="A15" t="s">
        <v>12</v>
      </c>
      <c r="C15" s="8">
        <f>C3/$B3</f>
        <v>0.23364485981308411</v>
      </c>
      <c r="D15" s="8">
        <f t="shared" ref="D15:E15" si="4">D3/$B3</f>
        <v>0.37383177570093457</v>
      </c>
      <c r="E15" s="8">
        <f t="shared" si="4"/>
        <v>0.3925233644859813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topLeftCell="A16" workbookViewId="0">
      <selection activeCell="C42" sqref="C42"/>
    </sheetView>
  </sheetViews>
  <sheetFormatPr baseColWidth="10" defaultRowHeight="13" x14ac:dyDescent="0"/>
  <cols>
    <col min="1" max="1" width="10.83203125" style="90"/>
    <col min="2" max="2" width="29.1640625" style="90" customWidth="1"/>
    <col min="3" max="4" width="13.5" style="90" customWidth="1"/>
    <col min="5" max="16384" width="10.83203125" style="90"/>
  </cols>
  <sheetData>
    <row r="2" spans="2:4">
      <c r="B2" s="36" t="s">
        <v>148</v>
      </c>
    </row>
    <row r="3" spans="2:4">
      <c r="B3" s="90" t="s">
        <v>149</v>
      </c>
      <c r="C3" s="39">
        <v>880000</v>
      </c>
    </row>
    <row r="4" spans="2:4">
      <c r="B4" s="90" t="s">
        <v>150</v>
      </c>
      <c r="C4" s="39">
        <v>125500</v>
      </c>
      <c r="D4" s="39">
        <f>SUM(C3:C4)</f>
        <v>1005500</v>
      </c>
    </row>
    <row r="6" spans="2:4">
      <c r="B6" s="36" t="s">
        <v>151</v>
      </c>
    </row>
    <row r="7" spans="2:4">
      <c r="B7" s="90" t="s">
        <v>152</v>
      </c>
      <c r="C7" s="39">
        <v>160500</v>
      </c>
    </row>
    <row r="8" spans="2:4">
      <c r="B8" s="90" t="s">
        <v>153</v>
      </c>
      <c r="C8" s="39">
        <v>248850</v>
      </c>
    </row>
    <row r="9" spans="2:4">
      <c r="C9" s="39"/>
    </row>
    <row r="10" spans="2:4">
      <c r="B10" s="90" t="s">
        <v>154</v>
      </c>
      <c r="C10" s="39">
        <v>75600</v>
      </c>
      <c r="D10" s="32">
        <f>SUM(C7:C10)</f>
        <v>484950</v>
      </c>
    </row>
    <row r="11" spans="2:4">
      <c r="B11" s="36" t="s">
        <v>155</v>
      </c>
      <c r="D11" s="39">
        <f>D4+D10</f>
        <v>1490450</v>
      </c>
    </row>
    <row r="13" spans="2:4">
      <c r="B13" s="36" t="s">
        <v>156</v>
      </c>
    </row>
    <row r="14" spans="2:4">
      <c r="B14" s="90" t="s">
        <v>157</v>
      </c>
      <c r="C14" s="39">
        <v>5500000</v>
      </c>
    </row>
    <row r="15" spans="2:4">
      <c r="B15" s="90" t="s">
        <v>158</v>
      </c>
      <c r="C15" s="91">
        <v>0.08</v>
      </c>
      <c r="D15" s="39">
        <f>C14*C15</f>
        <v>440000</v>
      </c>
    </row>
    <row r="16" spans="2:4">
      <c r="B16" s="36"/>
    </row>
    <row r="17" spans="2:4">
      <c r="B17" s="90" t="s">
        <v>159</v>
      </c>
      <c r="C17" s="91"/>
      <c r="D17" s="39">
        <v>60000</v>
      </c>
    </row>
    <row r="18" spans="2:4">
      <c r="B18" s="36"/>
    </row>
    <row r="19" spans="2:4">
      <c r="D19" s="39"/>
    </row>
    <row r="21" spans="2:4">
      <c r="B21" s="36" t="s">
        <v>160</v>
      </c>
    </row>
    <row r="22" spans="2:4">
      <c r="B22" s="90" t="s">
        <v>161</v>
      </c>
      <c r="C22" s="39">
        <v>165850</v>
      </c>
    </row>
    <row r="23" spans="2:4">
      <c r="B23" s="90" t="s">
        <v>162</v>
      </c>
      <c r="C23" s="39">
        <v>11500</v>
      </c>
    </row>
    <row r="24" spans="2:4">
      <c r="B24" s="90" t="s">
        <v>163</v>
      </c>
      <c r="C24" s="39">
        <v>15600</v>
      </c>
      <c r="D24" s="39">
        <f>-SUM(C22:C24)</f>
        <v>-192950</v>
      </c>
    </row>
    <row r="26" spans="2:4" ht="52">
      <c r="B26" s="30" t="s">
        <v>164</v>
      </c>
      <c r="C26" s="90" t="s">
        <v>165</v>
      </c>
      <c r="D26" s="92">
        <f>SUM(D11:D24)</f>
        <v>1797500</v>
      </c>
    </row>
    <row r="28" spans="2:4">
      <c r="B28" s="36" t="s">
        <v>166</v>
      </c>
    </row>
    <row r="29" spans="2:4">
      <c r="B29" s="90" t="s">
        <v>167</v>
      </c>
      <c r="C29" s="90" t="s">
        <v>168</v>
      </c>
      <c r="D29" s="92">
        <f>D26</f>
        <v>1797500</v>
      </c>
    </row>
    <row r="30" spans="2:4">
      <c r="B30" s="90" t="s">
        <v>169</v>
      </c>
      <c r="D30" s="90">
        <v>150</v>
      </c>
    </row>
    <row r="31" spans="2:4">
      <c r="B31" s="90" t="s">
        <v>170</v>
      </c>
      <c r="C31" s="90">
        <v>365</v>
      </c>
      <c r="D31" s="39">
        <f>D30*C31</f>
        <v>54750</v>
      </c>
    </row>
    <row r="32" spans="2:4">
      <c r="B32" s="90" t="s">
        <v>171</v>
      </c>
      <c r="D32" s="91">
        <v>0.65</v>
      </c>
    </row>
    <row r="33" spans="2:4">
      <c r="B33" s="90" t="s">
        <v>172</v>
      </c>
      <c r="D33" s="39">
        <f>D31*D32</f>
        <v>35587.5</v>
      </c>
    </row>
    <row r="34" spans="2:4">
      <c r="B34" s="90" t="s">
        <v>173</v>
      </c>
      <c r="D34" s="93">
        <f>D29/D33</f>
        <v>50.509308043554618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" sqref="A2:G17"/>
    </sheetView>
  </sheetViews>
  <sheetFormatPr baseColWidth="10" defaultRowHeight="13" x14ac:dyDescent="0"/>
  <cols>
    <col min="1" max="1" width="14.83203125" style="16" customWidth="1"/>
    <col min="2" max="2" width="21.5" style="16" customWidth="1"/>
    <col min="3" max="3" width="9.6640625" style="16" customWidth="1"/>
    <col min="4" max="4" width="9.83203125" style="16" customWidth="1"/>
    <col min="5" max="5" width="9.33203125" style="16" customWidth="1"/>
    <col min="6" max="6" width="9.83203125" style="16" customWidth="1"/>
    <col min="7" max="7" width="9.33203125" style="16" customWidth="1"/>
    <col min="8" max="16384" width="10.83203125" style="16"/>
  </cols>
  <sheetData>
    <row r="1" spans="1:7">
      <c r="A1" s="15" t="s">
        <v>37</v>
      </c>
    </row>
    <row r="2" spans="1:7">
      <c r="A2" s="66"/>
      <c r="B2" s="66"/>
      <c r="C2" s="66"/>
      <c r="D2" s="83" t="s">
        <v>13</v>
      </c>
      <c r="E2" s="83"/>
      <c r="F2" s="83" t="s">
        <v>24</v>
      </c>
      <c r="G2" s="83"/>
    </row>
    <row r="3" spans="1:7" s="17" customFormat="1" ht="28" customHeight="1">
      <c r="A3" s="84" t="s">
        <v>14</v>
      </c>
      <c r="B3" s="84" t="s">
        <v>18</v>
      </c>
      <c r="C3" s="84" t="s">
        <v>22</v>
      </c>
      <c r="D3" s="84" t="s">
        <v>38</v>
      </c>
      <c r="E3" s="84" t="s">
        <v>23</v>
      </c>
      <c r="F3" s="84" t="s">
        <v>38</v>
      </c>
      <c r="G3" s="84" t="s">
        <v>23</v>
      </c>
    </row>
    <row r="4" spans="1:7" s="17" customFormat="1">
      <c r="A4" s="85"/>
      <c r="B4" s="85"/>
      <c r="C4" s="85"/>
      <c r="D4" s="85"/>
      <c r="E4" s="85"/>
      <c r="F4" s="85"/>
      <c r="G4" s="85"/>
    </row>
    <row r="5" spans="1:7">
      <c r="A5" s="66" t="s">
        <v>15</v>
      </c>
      <c r="B5" s="66" t="s">
        <v>19</v>
      </c>
      <c r="C5" s="86">
        <v>29.8</v>
      </c>
      <c r="D5" s="87">
        <v>1</v>
      </c>
      <c r="E5" s="86">
        <f>D5*C5</f>
        <v>29.8</v>
      </c>
      <c r="F5" s="87">
        <v>1</v>
      </c>
      <c r="G5" s="86">
        <f>F5*C5</f>
        <v>29.8</v>
      </c>
    </row>
    <row r="6" spans="1:7">
      <c r="A6" s="66" t="s">
        <v>16</v>
      </c>
      <c r="B6" s="66" t="s">
        <v>20</v>
      </c>
      <c r="C6" s="86">
        <v>31.55</v>
      </c>
      <c r="D6" s="87">
        <v>3</v>
      </c>
      <c r="E6" s="86">
        <f t="shared" ref="E6:E10" si="0">D6*C6</f>
        <v>94.65</v>
      </c>
      <c r="F6" s="87">
        <v>3</v>
      </c>
      <c r="G6" s="86">
        <f t="shared" ref="G6:G10" si="1">F6*C6</f>
        <v>94.65</v>
      </c>
    </row>
    <row r="7" spans="1:7">
      <c r="A7" s="66" t="s">
        <v>17</v>
      </c>
      <c r="B7" s="66" t="s">
        <v>21</v>
      </c>
      <c r="C7" s="86">
        <v>22.78</v>
      </c>
      <c r="D7" s="87">
        <v>4</v>
      </c>
      <c r="E7" s="86">
        <f t="shared" si="0"/>
        <v>91.12</v>
      </c>
      <c r="F7" s="87">
        <v>0</v>
      </c>
      <c r="G7" s="86">
        <f t="shared" si="1"/>
        <v>0</v>
      </c>
    </row>
    <row r="8" spans="1:7">
      <c r="A8" s="66" t="s">
        <v>25</v>
      </c>
      <c r="B8" s="66" t="s">
        <v>28</v>
      </c>
      <c r="C8" s="86">
        <v>9.75</v>
      </c>
      <c r="D8" s="87">
        <v>3</v>
      </c>
      <c r="E8" s="86">
        <f t="shared" si="0"/>
        <v>29.25</v>
      </c>
      <c r="F8" s="87">
        <v>3</v>
      </c>
      <c r="G8" s="86">
        <f t="shared" si="1"/>
        <v>29.25</v>
      </c>
    </row>
    <row r="9" spans="1:7">
      <c r="A9" s="66" t="s">
        <v>26</v>
      </c>
      <c r="B9" s="66" t="s">
        <v>29</v>
      </c>
      <c r="C9" s="86">
        <v>13.6</v>
      </c>
      <c r="D9" s="87">
        <v>2</v>
      </c>
      <c r="E9" s="86">
        <f t="shared" si="0"/>
        <v>27.2</v>
      </c>
      <c r="F9" s="87">
        <v>3</v>
      </c>
      <c r="G9" s="86">
        <f t="shared" si="1"/>
        <v>40.799999999999997</v>
      </c>
    </row>
    <row r="10" spans="1:7">
      <c r="A10" s="66" t="s">
        <v>27</v>
      </c>
      <c r="B10" s="66" t="s">
        <v>30</v>
      </c>
      <c r="C10" s="86">
        <v>2.9</v>
      </c>
      <c r="D10" s="87">
        <v>5</v>
      </c>
      <c r="E10" s="88">
        <f t="shared" si="0"/>
        <v>14.5</v>
      </c>
      <c r="F10" s="87">
        <v>6</v>
      </c>
      <c r="G10" s="88">
        <f t="shared" si="1"/>
        <v>17.399999999999999</v>
      </c>
    </row>
    <row r="11" spans="1:7">
      <c r="A11" s="66"/>
      <c r="B11" s="66"/>
      <c r="C11" s="66"/>
      <c r="D11" s="66"/>
      <c r="E11" s="66"/>
      <c r="F11" s="66"/>
      <c r="G11" s="66"/>
    </row>
    <row r="12" spans="1:7">
      <c r="A12" s="66"/>
      <c r="B12" s="66" t="s">
        <v>31</v>
      </c>
      <c r="C12" s="66"/>
      <c r="D12" s="66"/>
      <c r="E12" s="86">
        <f>SUM(E5:E10)</f>
        <v>286.52</v>
      </c>
      <c r="F12" s="66"/>
      <c r="G12" s="86">
        <f>SUM(G5:G10)</f>
        <v>211.9</v>
      </c>
    </row>
    <row r="13" spans="1:7">
      <c r="A13" s="66"/>
      <c r="B13" s="66" t="s">
        <v>32</v>
      </c>
      <c r="C13" s="66"/>
      <c r="D13" s="66"/>
      <c r="E13" s="88">
        <v>150.32</v>
      </c>
      <c r="F13" s="89"/>
      <c r="G13" s="88">
        <v>85.65</v>
      </c>
    </row>
    <row r="14" spans="1:7">
      <c r="A14" s="66"/>
      <c r="B14" s="66" t="s">
        <v>33</v>
      </c>
      <c r="C14" s="66"/>
      <c r="D14" s="66"/>
      <c r="E14" s="86">
        <f>E12+E13</f>
        <v>436.84</v>
      </c>
      <c r="F14" s="66"/>
      <c r="G14" s="86">
        <f>G12+G13</f>
        <v>297.55</v>
      </c>
    </row>
    <row r="15" spans="1:7">
      <c r="A15" s="66"/>
      <c r="B15" s="66" t="s">
        <v>34</v>
      </c>
      <c r="C15" s="66"/>
      <c r="D15" s="66"/>
      <c r="E15" s="88">
        <v>515.79999999999995</v>
      </c>
      <c r="F15" s="89"/>
      <c r="G15" s="88">
        <v>289.56</v>
      </c>
    </row>
    <row r="16" spans="1:7">
      <c r="A16" s="66"/>
      <c r="B16" s="66" t="s">
        <v>35</v>
      </c>
      <c r="C16" s="66"/>
      <c r="D16" s="66"/>
      <c r="E16" s="86">
        <f>E15-E14</f>
        <v>78.95999999999998</v>
      </c>
      <c r="F16" s="66"/>
      <c r="G16" s="86">
        <f>G15-G14</f>
        <v>-7.9900000000000091</v>
      </c>
    </row>
    <row r="17" spans="1:7">
      <c r="A17" s="66"/>
      <c r="B17" s="66" t="s">
        <v>36</v>
      </c>
      <c r="C17" s="66"/>
      <c r="D17" s="66"/>
      <c r="E17" s="79">
        <f>E16/E15</f>
        <v>0.15308259015122139</v>
      </c>
      <c r="F17" s="79"/>
      <c r="G17" s="79">
        <f>G16/G15</f>
        <v>-2.7593590274899878E-2</v>
      </c>
    </row>
    <row r="21" spans="1:7">
      <c r="A21" s="18" t="s">
        <v>39</v>
      </c>
      <c r="B21" s="19"/>
      <c r="C21" s="19"/>
      <c r="D21" s="20" t="s">
        <v>13</v>
      </c>
      <c r="E21" s="20"/>
      <c r="F21" s="20" t="s">
        <v>24</v>
      </c>
      <c r="G21" s="20"/>
    </row>
    <row r="22" spans="1:7" ht="24">
      <c r="A22" s="21" t="s">
        <v>14</v>
      </c>
      <c r="B22" s="21" t="s">
        <v>18</v>
      </c>
      <c r="C22" s="21" t="s">
        <v>22</v>
      </c>
      <c r="D22" s="21" t="s">
        <v>38</v>
      </c>
      <c r="E22" s="21" t="s">
        <v>23</v>
      </c>
      <c r="F22" s="21" t="s">
        <v>38</v>
      </c>
      <c r="G22" s="21" t="s">
        <v>23</v>
      </c>
    </row>
    <row r="23" spans="1:7">
      <c r="A23" s="22"/>
      <c r="B23" s="22"/>
      <c r="C23" s="22"/>
      <c r="D23" s="22"/>
      <c r="E23" s="22"/>
      <c r="F23" s="22"/>
      <c r="G23" s="22"/>
    </row>
    <row r="24" spans="1:7">
      <c r="A24" s="19" t="s">
        <v>15</v>
      </c>
      <c r="B24" s="19" t="s">
        <v>19</v>
      </c>
      <c r="C24" s="23">
        <v>29.8</v>
      </c>
      <c r="D24" s="24">
        <v>1</v>
      </c>
      <c r="E24" s="23">
        <f>D24*C24</f>
        <v>29.8</v>
      </c>
      <c r="F24" s="24">
        <v>1</v>
      </c>
      <c r="G24" s="23"/>
    </row>
    <row r="25" spans="1:7">
      <c r="A25" s="19" t="s">
        <v>16</v>
      </c>
      <c r="B25" s="19" t="s">
        <v>20</v>
      </c>
      <c r="C25" s="23">
        <v>31.55</v>
      </c>
      <c r="D25" s="24">
        <v>3</v>
      </c>
      <c r="E25" s="23"/>
      <c r="F25" s="24">
        <v>3</v>
      </c>
      <c r="G25" s="23"/>
    </row>
    <row r="26" spans="1:7">
      <c r="A26" s="19" t="s">
        <v>17</v>
      </c>
      <c r="B26" s="19" t="s">
        <v>21</v>
      </c>
      <c r="C26" s="23">
        <v>22.78</v>
      </c>
      <c r="D26" s="24">
        <v>4</v>
      </c>
      <c r="E26" s="23"/>
      <c r="F26" s="24">
        <v>0</v>
      </c>
      <c r="G26" s="23"/>
    </row>
    <row r="27" spans="1:7">
      <c r="A27" s="19" t="s">
        <v>25</v>
      </c>
      <c r="B27" s="19" t="s">
        <v>28</v>
      </c>
      <c r="C27" s="23">
        <v>9.75</v>
      </c>
      <c r="D27" s="24">
        <v>3</v>
      </c>
      <c r="E27" s="23"/>
      <c r="F27" s="24">
        <v>3</v>
      </c>
      <c r="G27" s="23">
        <f t="shared" ref="G27:G28" si="2">F27*C27</f>
        <v>29.25</v>
      </c>
    </row>
    <row r="28" spans="1:7">
      <c r="A28" s="19" t="s">
        <v>26</v>
      </c>
      <c r="B28" s="19" t="s">
        <v>29</v>
      </c>
      <c r="C28" s="23">
        <v>13.6</v>
      </c>
      <c r="D28" s="24">
        <v>2</v>
      </c>
      <c r="E28" s="23"/>
      <c r="F28" s="24">
        <v>3</v>
      </c>
      <c r="G28" s="23">
        <f t="shared" si="2"/>
        <v>40.799999999999997</v>
      </c>
    </row>
    <row r="29" spans="1:7">
      <c r="A29" s="19" t="s">
        <v>27</v>
      </c>
      <c r="B29" s="19" t="s">
        <v>30</v>
      </c>
      <c r="C29" s="23">
        <v>2.9</v>
      </c>
      <c r="D29" s="24">
        <v>5</v>
      </c>
      <c r="E29" s="25">
        <f t="shared" ref="E29" si="3">D29*C29</f>
        <v>14.5</v>
      </c>
      <c r="F29" s="24">
        <v>6</v>
      </c>
      <c r="G29" s="25"/>
    </row>
    <row r="30" spans="1:7">
      <c r="A30" s="19"/>
      <c r="B30" s="19"/>
      <c r="C30" s="19"/>
      <c r="D30" s="19"/>
      <c r="E30" s="19"/>
      <c r="F30" s="19"/>
      <c r="G30" s="19"/>
    </row>
    <row r="31" spans="1:7">
      <c r="A31" s="19"/>
      <c r="B31" s="19" t="s">
        <v>31</v>
      </c>
      <c r="C31" s="19"/>
      <c r="D31" s="19"/>
      <c r="E31" s="23"/>
      <c r="F31" s="19"/>
      <c r="G31" s="23"/>
    </row>
    <row r="32" spans="1:7">
      <c r="A32" s="19"/>
      <c r="B32" s="19" t="s">
        <v>32</v>
      </c>
      <c r="C32" s="19"/>
      <c r="D32" s="19"/>
      <c r="E32" s="25">
        <v>150.32</v>
      </c>
      <c r="F32" s="26"/>
      <c r="G32" s="25">
        <v>85.65</v>
      </c>
    </row>
    <row r="33" spans="1:7">
      <c r="A33" s="19"/>
      <c r="B33" s="19" t="s">
        <v>33</v>
      </c>
      <c r="C33" s="19"/>
      <c r="D33" s="19"/>
      <c r="E33" s="23"/>
      <c r="F33" s="19"/>
      <c r="G33" s="23"/>
    </row>
    <row r="34" spans="1:7">
      <c r="A34" s="19"/>
      <c r="B34" s="19" t="s">
        <v>34</v>
      </c>
      <c r="C34" s="19"/>
      <c r="D34" s="19"/>
      <c r="E34" s="25">
        <v>515.79999999999995</v>
      </c>
      <c r="F34" s="26"/>
      <c r="G34" s="25">
        <v>289.56</v>
      </c>
    </row>
    <row r="35" spans="1:7">
      <c r="A35" s="19"/>
      <c r="B35" s="19" t="s">
        <v>35</v>
      </c>
      <c r="C35" s="19"/>
      <c r="D35" s="19"/>
      <c r="E35" s="23"/>
      <c r="F35" s="19"/>
      <c r="G35" s="23"/>
    </row>
    <row r="36" spans="1:7">
      <c r="A36" s="19"/>
      <c r="B36" s="19" t="s">
        <v>36</v>
      </c>
      <c r="C36" s="19"/>
      <c r="D36" s="19"/>
      <c r="E36" s="27" t="s">
        <v>40</v>
      </c>
      <c r="F36" s="28"/>
      <c r="G36" s="27" t="s">
        <v>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50" workbookViewId="0">
      <selection activeCell="G59" sqref="G59"/>
    </sheetView>
  </sheetViews>
  <sheetFormatPr baseColWidth="10" defaultRowHeight="15" x14ac:dyDescent="0"/>
  <cols>
    <col min="1" max="1" width="22" customWidth="1"/>
    <col min="2" max="8" width="10.1640625" customWidth="1"/>
  </cols>
  <sheetData>
    <row r="1" spans="1:5">
      <c r="A1" s="11" t="s">
        <v>41</v>
      </c>
    </row>
    <row r="3" spans="1:5">
      <c r="A3" t="s">
        <v>103</v>
      </c>
      <c r="B3" s="5">
        <v>6000</v>
      </c>
      <c r="D3" t="s">
        <v>96</v>
      </c>
      <c r="E3" t="s">
        <v>97</v>
      </c>
    </row>
    <row r="4" spans="1:5">
      <c r="A4" t="s">
        <v>42</v>
      </c>
      <c r="B4">
        <v>12000</v>
      </c>
      <c r="C4" t="s">
        <v>93</v>
      </c>
      <c r="D4">
        <f>B4/10</f>
        <v>1200</v>
      </c>
      <c r="E4">
        <f>D4/2</f>
        <v>600</v>
      </c>
    </row>
    <row r="5" spans="1:5">
      <c r="A5" t="s">
        <v>44</v>
      </c>
      <c r="B5">
        <v>4500</v>
      </c>
      <c r="C5" t="s">
        <v>94</v>
      </c>
      <c r="D5">
        <f>B5/4</f>
        <v>1125</v>
      </c>
      <c r="E5">
        <f>D5/2</f>
        <v>562.5</v>
      </c>
    </row>
    <row r="6" spans="1:5">
      <c r="A6" t="s">
        <v>43</v>
      </c>
      <c r="B6">
        <v>500</v>
      </c>
      <c r="C6" t="s">
        <v>98</v>
      </c>
      <c r="E6">
        <f>B6/2</f>
        <v>250</v>
      </c>
    </row>
    <row r="7" spans="1:5">
      <c r="A7" t="s">
        <v>45</v>
      </c>
      <c r="B7">
        <v>1200</v>
      </c>
      <c r="C7" t="s">
        <v>95</v>
      </c>
      <c r="E7">
        <f>B7*6</f>
        <v>7200</v>
      </c>
    </row>
    <row r="8" spans="1:5">
      <c r="A8" t="s">
        <v>46</v>
      </c>
      <c r="B8">
        <v>1650</v>
      </c>
      <c r="C8" t="s">
        <v>91</v>
      </c>
      <c r="E8">
        <f>B8/2</f>
        <v>825</v>
      </c>
    </row>
    <row r="9" spans="1:5">
      <c r="A9" t="s">
        <v>47</v>
      </c>
      <c r="B9">
        <v>1500</v>
      </c>
      <c r="C9" t="s">
        <v>92</v>
      </c>
      <c r="E9">
        <f>B9/2</f>
        <v>750</v>
      </c>
    </row>
    <row r="10" spans="1:5">
      <c r="A10" t="s">
        <v>48</v>
      </c>
      <c r="B10" s="10">
        <v>0.35</v>
      </c>
      <c r="D10" t="s">
        <v>99</v>
      </c>
      <c r="E10">
        <f>SUM(E4:E9)</f>
        <v>10187.5</v>
      </c>
    </row>
    <row r="11" spans="1:5">
      <c r="A11" t="s">
        <v>49</v>
      </c>
      <c r="B11" s="10">
        <v>0.05</v>
      </c>
      <c r="D11" t="s">
        <v>100</v>
      </c>
      <c r="E11">
        <f>E10/(1-(B10+B11))</f>
        <v>16979.166666666664</v>
      </c>
    </row>
    <row r="12" spans="1:5">
      <c r="A12" t="s">
        <v>104</v>
      </c>
      <c r="B12" s="10">
        <f>B10+B11</f>
        <v>0.39999999999999997</v>
      </c>
      <c r="C12">
        <v>650</v>
      </c>
    </row>
    <row r="13" spans="1:5">
      <c r="A13" s="11" t="s">
        <v>50</v>
      </c>
    </row>
    <row r="14" spans="1:5">
      <c r="A14" t="s">
        <v>52</v>
      </c>
    </row>
    <row r="15" spans="1:5">
      <c r="A15" t="s">
        <v>53</v>
      </c>
    </row>
    <row r="16" spans="1:5">
      <c r="A16" t="s">
        <v>51</v>
      </c>
    </row>
    <row r="17" spans="1:8">
      <c r="A17" t="s">
        <v>54</v>
      </c>
    </row>
    <row r="18" spans="1:8">
      <c r="A18" t="s">
        <v>55</v>
      </c>
    </row>
    <row r="19" spans="1:8">
      <c r="A19" t="s">
        <v>108</v>
      </c>
    </row>
    <row r="20" spans="1:8">
      <c r="A20" t="s">
        <v>56</v>
      </c>
    </row>
    <row r="21" spans="1:8">
      <c r="A21" t="s">
        <v>90</v>
      </c>
    </row>
    <row r="23" spans="1:8">
      <c r="A23" s="44"/>
      <c r="B23" s="45" t="s">
        <v>81</v>
      </c>
      <c r="C23" s="45" t="s">
        <v>82</v>
      </c>
      <c r="D23" s="45" t="s">
        <v>83</v>
      </c>
      <c r="E23" s="45" t="s">
        <v>84</v>
      </c>
      <c r="F23" s="45" t="s">
        <v>85</v>
      </c>
      <c r="G23" s="45" t="s">
        <v>86</v>
      </c>
      <c r="H23" s="44"/>
    </row>
    <row r="24" spans="1:8">
      <c r="A24" s="44" t="s">
        <v>116</v>
      </c>
      <c r="B24" s="44">
        <v>3200</v>
      </c>
      <c r="C24" s="44">
        <v>3500</v>
      </c>
      <c r="D24" s="44">
        <v>3800</v>
      </c>
      <c r="E24" s="44">
        <v>4000</v>
      </c>
      <c r="F24" s="44">
        <v>4500</v>
      </c>
      <c r="G24" s="44">
        <v>4500</v>
      </c>
      <c r="H24" s="44"/>
    </row>
    <row r="25" spans="1:8">
      <c r="A25" s="44" t="s">
        <v>101</v>
      </c>
      <c r="B25" s="44">
        <v>1.85</v>
      </c>
      <c r="C25" s="44" t="s">
        <v>102</v>
      </c>
      <c r="D25" s="44"/>
      <c r="E25" s="44"/>
      <c r="F25" s="44"/>
      <c r="G25" s="44"/>
      <c r="H25" s="44"/>
    </row>
    <row r="26" spans="1:8">
      <c r="A26" s="46"/>
      <c r="B26" s="47"/>
      <c r="C26" s="47"/>
      <c r="D26" s="47"/>
      <c r="E26" s="47"/>
      <c r="F26" s="47"/>
      <c r="G26" s="47"/>
      <c r="H26" s="47"/>
    </row>
    <row r="27" spans="1:8">
      <c r="A27" s="48" t="s">
        <v>57</v>
      </c>
      <c r="B27" s="47"/>
      <c r="C27" s="47"/>
      <c r="D27" s="47"/>
      <c r="E27" s="47"/>
      <c r="F27" s="47"/>
      <c r="G27" s="47"/>
      <c r="H27" s="47"/>
    </row>
    <row r="28" spans="1:8">
      <c r="A28" s="48"/>
      <c r="B28" s="47"/>
      <c r="C28" s="47"/>
      <c r="D28" s="47"/>
      <c r="E28" s="47"/>
      <c r="F28" s="47"/>
      <c r="G28" s="47"/>
      <c r="H28" s="47"/>
    </row>
    <row r="29" spans="1:8">
      <c r="A29" s="49"/>
      <c r="B29" s="50" t="s">
        <v>81</v>
      </c>
      <c r="C29" s="50" t="s">
        <v>82</v>
      </c>
      <c r="D29" s="50" t="s">
        <v>83</v>
      </c>
      <c r="E29" s="50" t="s">
        <v>84</v>
      </c>
      <c r="F29" s="50" t="s">
        <v>85</v>
      </c>
      <c r="G29" s="50" t="s">
        <v>86</v>
      </c>
      <c r="H29" s="51" t="s">
        <v>58</v>
      </c>
    </row>
    <row r="30" spans="1:8">
      <c r="A30" s="52" t="s">
        <v>59</v>
      </c>
      <c r="B30" s="53">
        <v>0</v>
      </c>
      <c r="C30" s="53">
        <f t="shared" ref="C30:G30" si="0">B49</f>
        <v>1595</v>
      </c>
      <c r="D30" s="53">
        <f t="shared" si="0"/>
        <v>-4548</v>
      </c>
      <c r="E30" s="53">
        <f t="shared" si="0"/>
        <v>-2286</v>
      </c>
      <c r="F30" s="53">
        <f t="shared" si="0"/>
        <v>346</v>
      </c>
      <c r="G30" s="53">
        <f t="shared" si="0"/>
        <v>3903</v>
      </c>
      <c r="H30" s="53"/>
    </row>
    <row r="31" spans="1:8">
      <c r="A31" s="54" t="s">
        <v>60</v>
      </c>
      <c r="B31" s="53"/>
      <c r="C31" s="53"/>
      <c r="D31" s="53"/>
      <c r="E31" s="53"/>
      <c r="F31" s="53"/>
      <c r="G31" s="53"/>
      <c r="H31" s="53"/>
    </row>
    <row r="32" spans="1:8">
      <c r="A32" s="49" t="s">
        <v>61</v>
      </c>
      <c r="B32" s="53">
        <f>B24*$B25</f>
        <v>5920</v>
      </c>
      <c r="C32" s="53">
        <f t="shared" ref="C32:G32" si="1">C24*$B25</f>
        <v>6475</v>
      </c>
      <c r="D32" s="53">
        <f t="shared" si="1"/>
        <v>7030</v>
      </c>
      <c r="E32" s="53">
        <f t="shared" si="1"/>
        <v>7400</v>
      </c>
      <c r="F32" s="53">
        <f t="shared" si="1"/>
        <v>8325</v>
      </c>
      <c r="G32" s="53">
        <f t="shared" si="1"/>
        <v>8325</v>
      </c>
      <c r="H32" s="53">
        <f>SUM(B32:G32)</f>
        <v>43475</v>
      </c>
    </row>
    <row r="33" spans="1:9">
      <c r="A33" s="55" t="s">
        <v>88</v>
      </c>
      <c r="B33" s="53">
        <f>B3</f>
        <v>6000</v>
      </c>
      <c r="C33" s="19"/>
      <c r="D33" s="19"/>
      <c r="E33" s="19"/>
      <c r="F33" s="19"/>
      <c r="G33" s="19"/>
      <c r="H33" s="19"/>
    </row>
    <row r="34" spans="1:9">
      <c r="A34" s="55"/>
      <c r="B34" s="19"/>
      <c r="C34" s="19"/>
      <c r="D34" s="19"/>
      <c r="E34" s="19"/>
      <c r="F34" s="19"/>
      <c r="G34" s="19"/>
      <c r="H34" s="19"/>
    </row>
    <row r="35" spans="1:9">
      <c r="A35" s="56" t="s">
        <v>62</v>
      </c>
      <c r="B35" s="53">
        <f t="shared" ref="B35:G35" si="2">SUM(B32:B34)</f>
        <v>11920</v>
      </c>
      <c r="C35" s="53">
        <f t="shared" si="2"/>
        <v>6475</v>
      </c>
      <c r="D35" s="53">
        <f t="shared" si="2"/>
        <v>7030</v>
      </c>
      <c r="E35" s="53">
        <f t="shared" si="2"/>
        <v>7400</v>
      </c>
      <c r="F35" s="53">
        <f t="shared" si="2"/>
        <v>8325</v>
      </c>
      <c r="G35" s="53">
        <f t="shared" si="2"/>
        <v>8325</v>
      </c>
      <c r="H35" s="19"/>
    </row>
    <row r="36" spans="1:9">
      <c r="A36" s="55"/>
      <c r="B36" s="19"/>
      <c r="C36" s="19"/>
      <c r="D36" s="19"/>
      <c r="E36" s="19"/>
      <c r="F36" s="19"/>
      <c r="G36" s="19"/>
      <c r="H36" s="19"/>
    </row>
    <row r="37" spans="1:9">
      <c r="A37" s="57" t="s">
        <v>63</v>
      </c>
      <c r="B37" s="19"/>
      <c r="C37" s="19"/>
      <c r="D37" s="19"/>
      <c r="E37" s="19"/>
      <c r="F37" s="19"/>
      <c r="G37" s="19"/>
      <c r="H37" s="19"/>
    </row>
    <row r="38" spans="1:9">
      <c r="A38" s="55" t="s">
        <v>64</v>
      </c>
      <c r="B38" s="19"/>
      <c r="C38" s="19">
        <f>($B32*$B12)+C12</f>
        <v>3018</v>
      </c>
      <c r="D38" s="19">
        <f t="shared" ref="D38:I38" si="3">$B32*$B12</f>
        <v>2368</v>
      </c>
      <c r="E38" s="19">
        <f t="shared" si="3"/>
        <v>2368</v>
      </c>
      <c r="F38" s="19">
        <f t="shared" si="3"/>
        <v>2368</v>
      </c>
      <c r="G38" s="19">
        <f t="shared" si="3"/>
        <v>2368</v>
      </c>
      <c r="H38" s="53">
        <f t="shared" ref="H38:H46" si="4">SUM(B38:G38)</f>
        <v>12490</v>
      </c>
      <c r="I38">
        <f t="shared" si="3"/>
        <v>2368</v>
      </c>
    </row>
    <row r="39" spans="1:9">
      <c r="A39" s="55" t="s">
        <v>46</v>
      </c>
      <c r="B39" s="19">
        <f>E8</f>
        <v>825</v>
      </c>
      <c r="C39" s="61">
        <v>7200</v>
      </c>
      <c r="D39" s="19"/>
      <c r="E39" s="19"/>
      <c r="F39" s="19"/>
      <c r="G39" s="19"/>
      <c r="H39" s="53">
        <f t="shared" si="4"/>
        <v>8025</v>
      </c>
    </row>
    <row r="40" spans="1:9">
      <c r="A40" s="55" t="s">
        <v>47</v>
      </c>
      <c r="B40" s="19">
        <f>B9</f>
        <v>1500</v>
      </c>
      <c r="C40" s="19"/>
      <c r="D40" s="19"/>
      <c r="E40" s="19"/>
      <c r="F40" s="19"/>
      <c r="G40" s="19"/>
      <c r="H40" s="53">
        <f t="shared" si="4"/>
        <v>1500</v>
      </c>
    </row>
    <row r="41" spans="1:9">
      <c r="A41" s="55" t="s">
        <v>45</v>
      </c>
      <c r="B41" s="53">
        <f>$B7</f>
        <v>1200</v>
      </c>
      <c r="C41" s="53">
        <f t="shared" ref="C41:G41" si="5">$B7</f>
        <v>1200</v>
      </c>
      <c r="D41" s="53">
        <f t="shared" si="5"/>
        <v>1200</v>
      </c>
      <c r="E41" s="53">
        <f t="shared" si="5"/>
        <v>1200</v>
      </c>
      <c r="F41" s="53">
        <f t="shared" si="5"/>
        <v>1200</v>
      </c>
      <c r="G41" s="53">
        <f t="shared" si="5"/>
        <v>1200</v>
      </c>
      <c r="H41" s="53">
        <f t="shared" si="4"/>
        <v>7200</v>
      </c>
    </row>
    <row r="42" spans="1:9">
      <c r="A42" s="55" t="s">
        <v>87</v>
      </c>
      <c r="B42" s="19">
        <f>$D4</f>
        <v>1200</v>
      </c>
      <c r="C42" s="19">
        <f t="shared" ref="C42:G42" si="6">$D4</f>
        <v>1200</v>
      </c>
      <c r="D42" s="19">
        <f t="shared" si="6"/>
        <v>1200</v>
      </c>
      <c r="E42" s="19">
        <f t="shared" si="6"/>
        <v>1200</v>
      </c>
      <c r="F42" s="19">
        <f t="shared" si="6"/>
        <v>1200</v>
      </c>
      <c r="G42" s="19">
        <f t="shared" si="6"/>
        <v>1200</v>
      </c>
      <c r="H42" s="53">
        <f t="shared" si="4"/>
        <v>7200</v>
      </c>
    </row>
    <row r="43" spans="1:9">
      <c r="A43" s="55" t="s">
        <v>118</v>
      </c>
      <c r="B43" s="19">
        <f>E4</f>
        <v>600</v>
      </c>
      <c r="C43" s="58"/>
      <c r="D43" s="58"/>
      <c r="E43" s="58"/>
      <c r="F43" s="58"/>
      <c r="G43" s="58"/>
      <c r="H43" s="53">
        <f t="shared" si="4"/>
        <v>600</v>
      </c>
    </row>
    <row r="44" spans="1:9">
      <c r="A44" s="55" t="s">
        <v>44</v>
      </c>
      <c r="B44" s="19">
        <f>B5</f>
        <v>4500</v>
      </c>
      <c r="C44" s="58"/>
      <c r="D44" s="58"/>
      <c r="E44" s="58"/>
      <c r="F44" s="58"/>
      <c r="G44" s="58"/>
      <c r="H44" s="53">
        <f t="shared" si="4"/>
        <v>4500</v>
      </c>
    </row>
    <row r="45" spans="1:9">
      <c r="A45" s="55" t="s">
        <v>89</v>
      </c>
      <c r="B45" s="19">
        <f>B6</f>
        <v>500</v>
      </c>
      <c r="C45" s="58"/>
      <c r="D45" s="58"/>
      <c r="E45" s="58"/>
      <c r="F45" s="58"/>
      <c r="G45" s="58"/>
      <c r="H45" s="53">
        <f t="shared" si="4"/>
        <v>500</v>
      </c>
    </row>
    <row r="46" spans="1:9">
      <c r="A46" s="59"/>
      <c r="B46" s="58"/>
      <c r="C46" s="58"/>
      <c r="D46" s="58"/>
      <c r="E46" s="19"/>
      <c r="F46" s="19"/>
      <c r="G46" s="19"/>
      <c r="H46" s="53">
        <f t="shared" si="4"/>
        <v>0</v>
      </c>
    </row>
    <row r="47" spans="1:9">
      <c r="A47" s="56" t="s">
        <v>65</v>
      </c>
      <c r="B47" s="58">
        <f t="shared" ref="B47:G47" si="7">SUM(B38:B46)</f>
        <v>10325</v>
      </c>
      <c r="C47" s="58">
        <f t="shared" si="7"/>
        <v>12618</v>
      </c>
      <c r="D47" s="58">
        <f t="shared" si="7"/>
        <v>4768</v>
      </c>
      <c r="E47" s="58">
        <f t="shared" si="7"/>
        <v>4768</v>
      </c>
      <c r="F47" s="58">
        <f t="shared" si="7"/>
        <v>4768</v>
      </c>
      <c r="G47" s="58">
        <f t="shared" si="7"/>
        <v>4768</v>
      </c>
      <c r="H47" s="19"/>
    </row>
    <row r="48" spans="1:9">
      <c r="A48" s="56"/>
      <c r="B48" s="58"/>
      <c r="C48" s="58"/>
      <c r="D48" s="58"/>
      <c r="E48" s="58"/>
      <c r="F48" s="58"/>
      <c r="G48" s="58"/>
      <c r="H48" s="19"/>
    </row>
    <row r="49" spans="1:8" ht="25">
      <c r="A49" s="60" t="s">
        <v>66</v>
      </c>
      <c r="B49" s="58">
        <f t="shared" ref="B49:G49" si="8">B30+B35-B47</f>
        <v>1595</v>
      </c>
      <c r="C49" s="58">
        <f t="shared" si="8"/>
        <v>-4548</v>
      </c>
      <c r="D49" s="58">
        <f t="shared" si="8"/>
        <v>-2286</v>
      </c>
      <c r="E49" s="58">
        <f t="shared" si="8"/>
        <v>346</v>
      </c>
      <c r="F49" s="58">
        <f t="shared" si="8"/>
        <v>3903</v>
      </c>
      <c r="G49" s="58">
        <f t="shared" si="8"/>
        <v>7460</v>
      </c>
      <c r="H49" s="19"/>
    </row>
    <row r="50" spans="1:8">
      <c r="A50" s="13"/>
    </row>
    <row r="53" spans="1:8">
      <c r="A53" s="31" t="s">
        <v>117</v>
      </c>
    </row>
    <row r="54" spans="1:8">
      <c r="A54" s="13"/>
    </row>
    <row r="55" spans="1:8">
      <c r="A55" s="13" t="s">
        <v>67</v>
      </c>
      <c r="B55" s="5">
        <f>H32</f>
        <v>43475</v>
      </c>
    </row>
    <row r="56" spans="1:8">
      <c r="A56" s="13" t="s">
        <v>68</v>
      </c>
      <c r="B56" s="32">
        <f>H38+I38-C12</f>
        <v>14208</v>
      </c>
    </row>
    <row r="57" spans="1:8">
      <c r="A57" s="30" t="s">
        <v>69</v>
      </c>
      <c r="B57" s="5">
        <f>B55-B56</f>
        <v>29267</v>
      </c>
      <c r="C57" s="8">
        <f>B57/B55</f>
        <v>0.67319148936170214</v>
      </c>
    </row>
    <row r="58" spans="1:8">
      <c r="A58" s="13"/>
      <c r="B58" s="5"/>
    </row>
    <row r="59" spans="1:8">
      <c r="A59" s="29" t="s">
        <v>70</v>
      </c>
      <c r="B59" s="5"/>
    </row>
    <row r="60" spans="1:8">
      <c r="A60" s="13" t="s">
        <v>119</v>
      </c>
      <c r="B60" s="5">
        <f>H39</f>
        <v>8025</v>
      </c>
    </row>
    <row r="61" spans="1:8">
      <c r="A61" s="13" t="s">
        <v>47</v>
      </c>
      <c r="B61" s="5">
        <f>H40</f>
        <v>1500</v>
      </c>
    </row>
    <row r="62" spans="1:8">
      <c r="A62" s="13" t="s">
        <v>45</v>
      </c>
      <c r="B62" s="5">
        <f>H41</f>
        <v>7200</v>
      </c>
    </row>
    <row r="63" spans="1:8">
      <c r="A63" s="13" t="s">
        <v>87</v>
      </c>
      <c r="B63" s="5">
        <f>H42</f>
        <v>7200</v>
      </c>
    </row>
    <row r="64" spans="1:8">
      <c r="A64" s="13" t="s">
        <v>105</v>
      </c>
      <c r="B64" s="5">
        <f>E5</f>
        <v>562.5</v>
      </c>
    </row>
    <row r="65" spans="1:4" ht="30">
      <c r="A65" s="13" t="s">
        <v>106</v>
      </c>
      <c r="B65" s="40">
        <f>E6</f>
        <v>250</v>
      </c>
    </row>
    <row r="66" spans="1:4">
      <c r="A66" s="29" t="s">
        <v>71</v>
      </c>
      <c r="B66" s="5">
        <f>SUM(B60:B65)</f>
        <v>24737.5</v>
      </c>
      <c r="C66" s="8">
        <f>B66/B55</f>
        <v>0.56900517538815409</v>
      </c>
    </row>
    <row r="67" spans="1:4">
      <c r="A67" s="13"/>
      <c r="B67" s="5"/>
    </row>
    <row r="68" spans="1:4">
      <c r="A68" s="33" t="s">
        <v>107</v>
      </c>
      <c r="B68" s="32">
        <f>B57-B66</f>
        <v>4529.5</v>
      </c>
      <c r="C68" s="8">
        <f>B68/B55</f>
        <v>0.10418631397354802</v>
      </c>
    </row>
    <row r="69" spans="1:4">
      <c r="A69" s="13"/>
      <c r="B69" s="5"/>
    </row>
    <row r="70" spans="1:4">
      <c r="A70" s="13"/>
      <c r="B70" s="32"/>
    </row>
    <row r="71" spans="1:4">
      <c r="A71" s="34"/>
      <c r="B71" s="35"/>
    </row>
    <row r="72" spans="1:4">
      <c r="A72" s="13"/>
    </row>
    <row r="73" spans="1:4">
      <c r="A73" s="13"/>
    </row>
    <row r="76" spans="1:4">
      <c r="A76" s="36" t="s">
        <v>109</v>
      </c>
    </row>
    <row r="78" spans="1:4">
      <c r="A78" s="37" t="s">
        <v>72</v>
      </c>
      <c r="B78" s="14" t="s">
        <v>73</v>
      </c>
      <c r="C78" s="14" t="s">
        <v>74</v>
      </c>
      <c r="D78" s="14" t="s">
        <v>75</v>
      </c>
    </row>
    <row r="79" spans="1:4">
      <c r="A79" t="s">
        <v>44</v>
      </c>
      <c r="B79" s="5">
        <f>B5</f>
        <v>4500</v>
      </c>
      <c r="C79" s="5">
        <f>B64</f>
        <v>562.5</v>
      </c>
      <c r="D79" s="5">
        <f>B79-C79</f>
        <v>3937.5</v>
      </c>
    </row>
    <row r="80" spans="1:4">
      <c r="A80" t="s">
        <v>43</v>
      </c>
      <c r="B80" s="40">
        <f>B6</f>
        <v>500</v>
      </c>
      <c r="C80" s="40">
        <f>B65</f>
        <v>250</v>
      </c>
      <c r="D80" s="40">
        <f>B80-C80</f>
        <v>250</v>
      </c>
    </row>
    <row r="81" spans="1:4" ht="18">
      <c r="B81" s="41">
        <f>B80+B79</f>
        <v>5000</v>
      </c>
      <c r="C81" s="41">
        <f>C80+C79</f>
        <v>812.5</v>
      </c>
      <c r="D81" s="5">
        <f>D79+D80</f>
        <v>4187.5</v>
      </c>
    </row>
    <row r="82" spans="1:4">
      <c r="A82" s="37" t="s">
        <v>76</v>
      </c>
      <c r="B82" s="5"/>
      <c r="C82" s="5"/>
      <c r="D82" s="5"/>
    </row>
    <row r="83" spans="1:4">
      <c r="A83" t="s">
        <v>77</v>
      </c>
      <c r="B83" s="5"/>
      <c r="C83" s="5">
        <f>C12</f>
        <v>650</v>
      </c>
    </row>
    <row r="84" spans="1:4">
      <c r="A84" t="s">
        <v>118</v>
      </c>
      <c r="B84" s="5"/>
      <c r="C84" s="5">
        <f>E4</f>
        <v>600</v>
      </c>
    </row>
    <row r="85" spans="1:4">
      <c r="A85" t="s">
        <v>110</v>
      </c>
      <c r="B85" s="5"/>
      <c r="C85" s="40">
        <f>G49</f>
        <v>7460</v>
      </c>
    </row>
    <row r="86" spans="1:4">
      <c r="B86" s="5"/>
      <c r="D86" s="40">
        <f>SUM(C83:C85)</f>
        <v>8710</v>
      </c>
    </row>
    <row r="87" spans="1:4" ht="18">
      <c r="A87" t="s">
        <v>111</v>
      </c>
      <c r="B87" s="5"/>
      <c r="C87" s="32"/>
      <c r="D87" s="41">
        <f>D81+D86</f>
        <v>12897.5</v>
      </c>
    </row>
    <row r="89" spans="1:4">
      <c r="A89" s="12" t="s">
        <v>112</v>
      </c>
    </row>
    <row r="90" spans="1:4">
      <c r="A90" t="s">
        <v>113</v>
      </c>
      <c r="B90" s="5"/>
      <c r="C90" s="5">
        <f>B3</f>
        <v>6000</v>
      </c>
    </row>
    <row r="91" spans="1:4">
      <c r="A91" t="s">
        <v>80</v>
      </c>
      <c r="B91" s="5"/>
      <c r="C91" s="32">
        <f>B71</f>
        <v>0</v>
      </c>
      <c r="D91" s="5">
        <f>C90+C91</f>
        <v>6000</v>
      </c>
    </row>
    <row r="93" spans="1:4">
      <c r="A93" s="37" t="s">
        <v>78</v>
      </c>
      <c r="B93" s="5"/>
      <c r="C93" s="5"/>
    </row>
    <row r="94" spans="1:4">
      <c r="A94" t="s">
        <v>79</v>
      </c>
      <c r="C94" s="5">
        <f>I38</f>
        <v>2368</v>
      </c>
      <c r="D94" s="5"/>
    </row>
    <row r="95" spans="1:4">
      <c r="A95" t="s">
        <v>114</v>
      </c>
      <c r="B95" s="5"/>
      <c r="C95" s="5">
        <v>0</v>
      </c>
      <c r="D95" s="5"/>
    </row>
    <row r="96" spans="1:4">
      <c r="B96" s="32"/>
      <c r="C96" s="5"/>
      <c r="D96" s="40">
        <f>C94+C95</f>
        <v>2368</v>
      </c>
    </row>
    <row r="97" spans="1:6" ht="18">
      <c r="A97" s="43" t="s">
        <v>115</v>
      </c>
      <c r="D97" s="41">
        <f>D91+D96</f>
        <v>8368</v>
      </c>
      <c r="F97" s="5">
        <f>D87-D97</f>
        <v>4529.5</v>
      </c>
    </row>
    <row r="98" spans="1:6">
      <c r="B98" s="5"/>
      <c r="C98" s="5"/>
      <c r="D98" s="5"/>
    </row>
    <row r="99" spans="1:6">
      <c r="A99" s="38"/>
      <c r="B99" s="5"/>
      <c r="C99" s="5"/>
      <c r="D99" s="5"/>
    </row>
    <row r="100" spans="1:6">
      <c r="B100" s="5"/>
      <c r="C100" s="5"/>
      <c r="D100" s="5"/>
    </row>
    <row r="101" spans="1:6">
      <c r="A101" s="38"/>
      <c r="B101" s="5"/>
      <c r="C101" s="5"/>
      <c r="D101" s="5"/>
      <c r="F101" s="42"/>
    </row>
    <row r="102" spans="1:6">
      <c r="B102" s="5"/>
      <c r="C102" s="5"/>
      <c r="D102" s="5"/>
    </row>
    <row r="103" spans="1:6">
      <c r="A103" s="36"/>
      <c r="B103" s="5"/>
      <c r="C103" s="5"/>
      <c r="D103" s="5"/>
    </row>
    <row r="104" spans="1:6">
      <c r="D104" s="5"/>
    </row>
    <row r="105" spans="1:6">
      <c r="D105" s="5"/>
    </row>
    <row r="106" spans="1:6">
      <c r="B106" s="5"/>
      <c r="C106" s="5"/>
      <c r="D106" s="39"/>
    </row>
    <row r="107" spans="1:6">
      <c r="A107" s="38"/>
      <c r="B107" s="5"/>
      <c r="C107" s="5"/>
      <c r="D107" s="32"/>
    </row>
    <row r="108" spans="1:6">
      <c r="B108" s="5"/>
      <c r="C108" s="5"/>
      <c r="D108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14" sqref="E14"/>
    </sheetView>
  </sheetViews>
  <sheetFormatPr baseColWidth="10" defaultRowHeight="13" x14ac:dyDescent="0"/>
  <cols>
    <col min="1" max="1" width="24.6640625" style="16" customWidth="1"/>
    <col min="2" max="3" width="14.83203125" style="16" bestFit="1" customWidth="1"/>
    <col min="4" max="16384" width="10.83203125" style="16"/>
  </cols>
  <sheetData>
    <row r="1" spans="1:3">
      <c r="A1" s="62"/>
      <c r="B1" s="62"/>
      <c r="C1" s="62"/>
    </row>
    <row r="2" spans="1:3">
      <c r="A2" s="63"/>
      <c r="B2" s="77">
        <v>2012</v>
      </c>
      <c r="C2" s="77">
        <v>2011</v>
      </c>
    </row>
    <row r="3" spans="1:3">
      <c r="A3" s="63" t="s">
        <v>120</v>
      </c>
      <c r="B3" s="64">
        <v>1298000</v>
      </c>
      <c r="C3" s="64">
        <v>1354400</v>
      </c>
    </row>
    <row r="4" spans="1:3">
      <c r="A4" s="63" t="s">
        <v>121</v>
      </c>
      <c r="B4" s="65">
        <v>0.18</v>
      </c>
      <c r="C4" s="65">
        <v>0.21</v>
      </c>
    </row>
    <row r="5" spans="1:3">
      <c r="A5" s="63" t="s">
        <v>122</v>
      </c>
      <c r="B5" s="65">
        <v>0.4</v>
      </c>
      <c r="C5" s="65">
        <v>0.4</v>
      </c>
    </row>
    <row r="6" spans="1:3">
      <c r="A6" s="63" t="s">
        <v>123</v>
      </c>
      <c r="B6" s="64">
        <v>14650</v>
      </c>
      <c r="C6" s="64">
        <v>13544</v>
      </c>
    </row>
    <row r="7" spans="1:3">
      <c r="A7" s="63" t="s">
        <v>124</v>
      </c>
      <c r="B7" s="64">
        <v>20452</v>
      </c>
      <c r="C7" s="64">
        <v>29751</v>
      </c>
    </row>
    <row r="8" spans="1:3">
      <c r="A8" s="63" t="s">
        <v>125</v>
      </c>
      <c r="B8" s="64">
        <v>49635</v>
      </c>
      <c r="C8" s="64">
        <v>47769</v>
      </c>
    </row>
    <row r="9" spans="1:3">
      <c r="A9" s="66"/>
      <c r="B9" s="66"/>
      <c r="C9" s="66"/>
    </row>
    <row r="10" spans="1:3">
      <c r="A10" s="67" t="s">
        <v>132</v>
      </c>
      <c r="B10" s="68">
        <v>12997</v>
      </c>
      <c r="C10" s="66"/>
    </row>
    <row r="12" spans="1:3">
      <c r="A12" s="69" t="s">
        <v>138</v>
      </c>
      <c r="B12" s="66"/>
      <c r="C12" s="66"/>
    </row>
    <row r="13" spans="1:3">
      <c r="A13" s="70" t="s">
        <v>129</v>
      </c>
      <c r="B13" s="77">
        <v>2012</v>
      </c>
      <c r="C13" s="77">
        <v>2011</v>
      </c>
    </row>
    <row r="14" spans="1:3">
      <c r="A14" s="72" t="s">
        <v>130</v>
      </c>
      <c r="B14" s="66">
        <f>(B6+C6)/2</f>
        <v>14097</v>
      </c>
      <c r="C14" s="66">
        <f>(C6+B10)/2</f>
        <v>13270.5</v>
      </c>
    </row>
    <row r="15" spans="1:3">
      <c r="A15" s="73" t="s">
        <v>131</v>
      </c>
      <c r="B15" s="74">
        <f>B3*B5</f>
        <v>519200</v>
      </c>
      <c r="C15" s="74">
        <f>C3*C5</f>
        <v>541760</v>
      </c>
    </row>
    <row r="16" spans="1:3">
      <c r="A16" s="75" t="s">
        <v>133</v>
      </c>
      <c r="B16" s="71">
        <f>B14/B15*365</f>
        <v>9.9102561633281976</v>
      </c>
      <c r="C16" s="71">
        <f>C14/C15*365</f>
        <v>8.94073482722977</v>
      </c>
    </row>
    <row r="17" spans="1:3">
      <c r="A17" s="70" t="s">
        <v>127</v>
      </c>
      <c r="B17" s="66"/>
      <c r="C17" s="66"/>
    </row>
    <row r="18" spans="1:3">
      <c r="A18" s="73" t="s">
        <v>134</v>
      </c>
      <c r="B18" s="74">
        <f>B7</f>
        <v>20452</v>
      </c>
      <c r="C18" s="74">
        <f>C7</f>
        <v>29751</v>
      </c>
    </row>
    <row r="19" spans="1:3">
      <c r="A19" s="73" t="s">
        <v>135</v>
      </c>
      <c r="B19" s="74">
        <f>B3*B4</f>
        <v>233640</v>
      </c>
      <c r="C19" s="74">
        <f>C3*C4</f>
        <v>284424</v>
      </c>
    </row>
    <row r="20" spans="1:3">
      <c r="A20" s="75" t="s">
        <v>133</v>
      </c>
      <c r="B20" s="71">
        <f>B18/B19*365</f>
        <v>31.950778976202706</v>
      </c>
      <c r="C20" s="71">
        <f>C18/C19*365</f>
        <v>38.179320310522321</v>
      </c>
    </row>
    <row r="21" spans="1:3">
      <c r="A21" s="70" t="s">
        <v>128</v>
      </c>
      <c r="B21" s="66"/>
      <c r="C21" s="66"/>
    </row>
    <row r="22" spans="1:3">
      <c r="A22" s="73" t="s">
        <v>136</v>
      </c>
      <c r="B22" s="74">
        <f>B8</f>
        <v>49635</v>
      </c>
      <c r="C22" s="74">
        <f>C8</f>
        <v>47769</v>
      </c>
    </row>
    <row r="23" spans="1:3">
      <c r="A23" s="73" t="s">
        <v>137</v>
      </c>
      <c r="B23" s="74">
        <f>B15+B6-C6</f>
        <v>520306</v>
      </c>
      <c r="C23" s="74">
        <f>C15+C6-B10</f>
        <v>542307</v>
      </c>
    </row>
    <row r="24" spans="1:3">
      <c r="A24" s="75" t="s">
        <v>133</v>
      </c>
      <c r="B24" s="71">
        <f>B22/B23*365</f>
        <v>34.819462008894767</v>
      </c>
      <c r="C24" s="71">
        <f>C22/C23*365</f>
        <v>32.150949554403688</v>
      </c>
    </row>
    <row r="25" spans="1:3">
      <c r="A25" s="66"/>
      <c r="B25" s="66"/>
      <c r="C25" s="66"/>
    </row>
    <row r="26" spans="1:3">
      <c r="A26" s="76" t="s">
        <v>126</v>
      </c>
      <c r="B26" s="66"/>
      <c r="C26" s="66"/>
    </row>
    <row r="27" spans="1:3">
      <c r="A27" s="75" t="s">
        <v>133</v>
      </c>
      <c r="B27" s="71">
        <f>B16+B20-B24</f>
        <v>7.041573130636138</v>
      </c>
      <c r="C27" s="71">
        <f>C16+C20-C24</f>
        <v>14.969105583348401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28" sqref="J28"/>
    </sheetView>
  </sheetViews>
  <sheetFormatPr baseColWidth="10" defaultRowHeight="13" x14ac:dyDescent="0"/>
  <cols>
    <col min="1" max="16384" width="10.83203125" style="66"/>
  </cols>
  <sheetData>
    <row r="1" spans="1:6">
      <c r="A1" s="76" t="s">
        <v>139</v>
      </c>
    </row>
    <row r="2" spans="1:6">
      <c r="C2" s="83" t="s">
        <v>142</v>
      </c>
      <c r="D2" s="83"/>
      <c r="E2" s="83" t="s">
        <v>143</v>
      </c>
      <c r="F2" s="78"/>
    </row>
    <row r="3" spans="1:6">
      <c r="A3" s="76" t="s">
        <v>140</v>
      </c>
      <c r="B3" s="76" t="s">
        <v>141</v>
      </c>
      <c r="C3" s="79">
        <v>0.12</v>
      </c>
      <c r="D3" s="79">
        <v>0.16</v>
      </c>
      <c r="E3" s="80">
        <v>0.12</v>
      </c>
      <c r="F3" s="80">
        <v>0.16</v>
      </c>
    </row>
    <row r="4" spans="1:6">
      <c r="A4" s="66">
        <v>0</v>
      </c>
      <c r="B4" s="66">
        <v>-120000</v>
      </c>
      <c r="C4" s="66">
        <v>1</v>
      </c>
      <c r="D4" s="66">
        <v>1</v>
      </c>
      <c r="E4" s="81">
        <f>B4*C4</f>
        <v>-120000</v>
      </c>
      <c r="F4" s="81">
        <f>B4*D4</f>
        <v>-120000</v>
      </c>
    </row>
    <row r="5" spans="1:6">
      <c r="A5" s="66">
        <v>1</v>
      </c>
      <c r="B5" s="66">
        <v>0</v>
      </c>
      <c r="C5" s="66">
        <v>0.89290000000000003</v>
      </c>
      <c r="D5" s="66">
        <v>0.86209999999999998</v>
      </c>
      <c r="E5" s="81">
        <f>B5*C5</f>
        <v>0</v>
      </c>
      <c r="F5" s="81">
        <f t="shared" ref="F5:F12" si="0">B5*D5</f>
        <v>0</v>
      </c>
    </row>
    <row r="6" spans="1:6">
      <c r="A6" s="66">
        <v>2</v>
      </c>
      <c r="B6" s="66">
        <v>30000</v>
      </c>
      <c r="C6" s="66">
        <v>0.79720000000000002</v>
      </c>
      <c r="D6" s="66">
        <v>0.74319999999999997</v>
      </c>
      <c r="E6" s="81">
        <f t="shared" ref="E6:E12" si="1">B6*C6</f>
        <v>23916</v>
      </c>
      <c r="F6" s="81">
        <f t="shared" si="0"/>
        <v>22296</v>
      </c>
    </row>
    <row r="7" spans="1:6">
      <c r="A7" s="66">
        <v>3</v>
      </c>
      <c r="B7" s="66">
        <v>30000</v>
      </c>
      <c r="C7" s="66">
        <v>0.71179999999999999</v>
      </c>
      <c r="D7" s="66">
        <v>0.64070000000000005</v>
      </c>
      <c r="E7" s="81">
        <f t="shared" si="1"/>
        <v>21354</v>
      </c>
      <c r="F7" s="81">
        <f t="shared" si="0"/>
        <v>19221</v>
      </c>
    </row>
    <row r="8" spans="1:6">
      <c r="A8" s="66">
        <v>4</v>
      </c>
      <c r="B8" s="66">
        <v>30000</v>
      </c>
      <c r="C8" s="66">
        <v>0.63549999999999995</v>
      </c>
      <c r="D8" s="66">
        <v>0.55230000000000001</v>
      </c>
      <c r="E8" s="81">
        <f t="shared" si="1"/>
        <v>19065</v>
      </c>
      <c r="F8" s="81">
        <f t="shared" si="0"/>
        <v>16569</v>
      </c>
    </row>
    <row r="9" spans="1:6">
      <c r="A9" s="66">
        <v>5</v>
      </c>
      <c r="B9" s="66">
        <v>30000</v>
      </c>
      <c r="C9" s="66">
        <v>0.56740000000000002</v>
      </c>
      <c r="D9" s="66">
        <v>0.47610000000000002</v>
      </c>
      <c r="E9" s="81">
        <f t="shared" si="1"/>
        <v>17022</v>
      </c>
      <c r="F9" s="81">
        <f t="shared" si="0"/>
        <v>14283</v>
      </c>
    </row>
    <row r="10" spans="1:6">
      <c r="A10" s="66">
        <v>6</v>
      </c>
      <c r="B10" s="66">
        <v>30000</v>
      </c>
      <c r="C10" s="66">
        <v>0.50660000000000005</v>
      </c>
      <c r="D10" s="66">
        <v>0.41039999999999999</v>
      </c>
      <c r="E10" s="81">
        <f t="shared" si="1"/>
        <v>15198.000000000002</v>
      </c>
      <c r="F10" s="81">
        <f t="shared" si="0"/>
        <v>12312</v>
      </c>
    </row>
    <row r="11" spans="1:6">
      <c r="A11" s="66">
        <v>7</v>
      </c>
      <c r="B11" s="66">
        <v>30000</v>
      </c>
      <c r="C11" s="66">
        <v>0.45229999999999998</v>
      </c>
      <c r="D11" s="66">
        <v>0.3538</v>
      </c>
      <c r="E11" s="81">
        <f t="shared" si="1"/>
        <v>13569</v>
      </c>
      <c r="F11" s="81">
        <f t="shared" si="0"/>
        <v>10614</v>
      </c>
    </row>
    <row r="12" spans="1:6">
      <c r="A12" s="66">
        <v>8</v>
      </c>
      <c r="B12" s="66">
        <v>30000</v>
      </c>
      <c r="C12" s="66">
        <v>0.40389999999999998</v>
      </c>
      <c r="D12" s="66">
        <v>0.30499999999999999</v>
      </c>
      <c r="E12" s="81">
        <f t="shared" si="1"/>
        <v>12117</v>
      </c>
      <c r="F12" s="81">
        <f t="shared" si="0"/>
        <v>9150</v>
      </c>
    </row>
    <row r="13" spans="1:6">
      <c r="E13" s="81">
        <f>SUM(E4:E12)</f>
        <v>2241</v>
      </c>
      <c r="F13" s="81">
        <f>SUM(F4:F12)</f>
        <v>-15555</v>
      </c>
    </row>
    <row r="14" spans="1:6">
      <c r="C14" s="76" t="s">
        <v>144</v>
      </c>
      <c r="D14" s="82">
        <f>E3+((E13/(E13-F13))*(F3-E3))</f>
        <v>0.12503708698583951</v>
      </c>
    </row>
    <row r="15" spans="1:6">
      <c r="D15" s="82"/>
    </row>
    <row r="16" spans="1:6">
      <c r="A16" s="76" t="s">
        <v>145</v>
      </c>
    </row>
    <row r="17" spans="1:4">
      <c r="A17" s="76" t="s">
        <v>140</v>
      </c>
      <c r="B17" s="76" t="s">
        <v>141</v>
      </c>
      <c r="C17" s="76" t="s">
        <v>146</v>
      </c>
    </row>
    <row r="18" spans="1:4">
      <c r="A18" s="66">
        <v>0</v>
      </c>
      <c r="B18" s="66">
        <v>-120000</v>
      </c>
      <c r="C18" s="66">
        <f>B4</f>
        <v>-120000</v>
      </c>
    </row>
    <row r="19" spans="1:4">
      <c r="A19" s="66">
        <v>1</v>
      </c>
      <c r="B19" s="66">
        <v>0</v>
      </c>
      <c r="C19" s="66">
        <f t="shared" ref="C19:C26" si="2">C18+B5</f>
        <v>-120000</v>
      </c>
    </row>
    <row r="20" spans="1:4">
      <c r="A20" s="66">
        <v>2</v>
      </c>
      <c r="B20" s="66">
        <v>30000</v>
      </c>
      <c r="C20" s="66">
        <f t="shared" si="2"/>
        <v>-90000</v>
      </c>
    </row>
    <row r="21" spans="1:4">
      <c r="A21" s="66">
        <v>3</v>
      </c>
      <c r="B21" s="66">
        <v>30000</v>
      </c>
      <c r="C21" s="66">
        <f t="shared" si="2"/>
        <v>-60000</v>
      </c>
    </row>
    <row r="22" spans="1:4">
      <c r="A22" s="66">
        <v>4</v>
      </c>
      <c r="B22" s="66">
        <v>30000</v>
      </c>
      <c r="C22" s="66">
        <f t="shared" si="2"/>
        <v>-30000</v>
      </c>
      <c r="D22" s="66" t="s">
        <v>147</v>
      </c>
    </row>
    <row r="23" spans="1:4">
      <c r="A23" s="66">
        <v>5</v>
      </c>
      <c r="B23" s="66">
        <v>30000</v>
      </c>
      <c r="C23" s="66">
        <f t="shared" si="2"/>
        <v>0</v>
      </c>
    </row>
    <row r="24" spans="1:4">
      <c r="A24" s="66">
        <v>6</v>
      </c>
      <c r="B24" s="66">
        <v>30000</v>
      </c>
      <c r="C24" s="66">
        <f t="shared" si="2"/>
        <v>30000</v>
      </c>
    </row>
    <row r="25" spans="1:4">
      <c r="A25" s="66">
        <v>7</v>
      </c>
      <c r="B25" s="66">
        <v>30000</v>
      </c>
      <c r="C25" s="66">
        <f t="shared" si="2"/>
        <v>60000</v>
      </c>
    </row>
    <row r="26" spans="1:4">
      <c r="A26" s="66">
        <v>8</v>
      </c>
      <c r="B26" s="66">
        <v>30000</v>
      </c>
      <c r="C26" s="66">
        <f t="shared" si="2"/>
        <v>90000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Chp5Q1</vt:lpstr>
      <vt:lpstr>Chp6Hubbard</vt:lpstr>
      <vt:lpstr>Chp8Q2</vt:lpstr>
      <vt:lpstr>Chp9Q1</vt:lpstr>
      <vt:lpstr>Chp11Q1</vt:lpstr>
      <vt:lpstr>Chp14Q2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Atkinson</dc:creator>
  <cp:lastModifiedBy>Helen Atkinson</cp:lastModifiedBy>
  <dcterms:created xsi:type="dcterms:W3CDTF">2012-09-20T14:59:59Z</dcterms:created>
  <dcterms:modified xsi:type="dcterms:W3CDTF">2012-09-23T20:16:14Z</dcterms:modified>
</cp:coreProperties>
</file>